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8" tabRatio="870" firstSheet="23" activeTab="26"/>
  </bookViews>
  <sheets>
    <sheet name="Content" sheetId="1" r:id="rId1"/>
    <sheet name="Income_statement-Q" sheetId="2" r:id="rId2"/>
    <sheet name="Change_in_net_sales-Q" sheetId="3" r:id="rId3"/>
    <sheet name="Material_profit_or_loss_items-Q" sheetId="4" r:id="rId4"/>
    <sheet name="Consolidated_balance_sheet-Q" sheetId="5" r:id="rId5"/>
    <sheet name="Consolidated_cash_flow-Q" sheetId="6" r:id="rId6"/>
    <sheet name="Change_in_consolidated_equity-Q" sheetId="7" r:id="rId7"/>
    <sheet name="Working_cap_and_net_assets-Q" sheetId="8" r:id="rId8"/>
    <sheet name="Business_areas-Q" sheetId="9" r:id="rId9"/>
    <sheet name="Net_assets_by_business_area-Q" sheetId="10" r:id="rId10"/>
    <sheet name="Key_ratios-Q" sheetId="11" r:id="rId11"/>
    <sheet name="Net_debt-Q" sheetId="12" r:id="rId12"/>
    <sheet name="Income_statement-Y" sheetId="13" r:id="rId13"/>
    <sheet name="Change_in_net_sales-Y" sheetId="14" r:id="rId14"/>
    <sheet name="Material_profit_or_loss_items-Y" sheetId="15" r:id="rId15"/>
    <sheet name="Consolidated_balance_sheet-Y" sheetId="16" r:id="rId16"/>
    <sheet name="Consolidated_cash_flow-Y" sheetId="17" r:id="rId17"/>
    <sheet name="Business_areas-Y" sheetId="18" r:id="rId18"/>
    <sheet name="Major_Appliances_Europe-Y" sheetId="19" r:id="rId19"/>
    <sheet name="Major_Appliances_NA-Y" sheetId="20" r:id="rId20"/>
    <sheet name="Major_Appliances_LA-Y" sheetId="21" r:id="rId21"/>
    <sheet name="Major_Appliances_AP-Y" sheetId="22" r:id="rId22"/>
    <sheet name="Small_Appliances-Y" sheetId="23" r:id="rId23"/>
    <sheet name="Professional_Products-Y" sheetId="24" r:id="rId24"/>
    <sheet name="Net_sales_by_country-Y" sheetId="25" r:id="rId25"/>
    <sheet name="Employees_by_country-Y" sheetId="26" r:id="rId26"/>
    <sheet name="Key_ratios-Y" sheetId="27" r:id="rId27"/>
    <sheet name="Net_debt-Y" sheetId="28" r:id="rId28"/>
    <sheet name="Dividend-Y" sheetId="29" r:id="rId29"/>
    <sheet name="Rating-Y" sheetId="30" r:id="rId30"/>
    <sheet name="Repayment_schedule-Y" sheetId="31" r:id="rId31"/>
    <sheet name="Per_share_data-Y" sheetId="32" r:id="rId32"/>
  </sheets>
  <externalReferences>
    <externalReference r:id="rId35"/>
    <externalReference r:id="rId36"/>
  </externalReferences>
  <definedNames>
    <definedName name="_GoBack" localSheetId="0">'Content'!#REF!</definedName>
    <definedName name="ab">'Content'!$C$1</definedName>
    <definedName name="abc">'Content'!$C$1</definedName>
    <definedName name="abcd">'Content'!$C$1</definedName>
    <definedName name="asas">'Content'!$C$1</definedName>
    <definedName name="company" localSheetId="16">#REF!</definedName>
    <definedName name="company" localSheetId="27">#REF!</definedName>
    <definedName name="Company">'Content'!$C$1</definedName>
    <definedName name="FTE_2015">'[1]FTE 2015'!$A$6:$B$62</definedName>
    <definedName name="FTE_2016">'[2]FTE 2016 (&amp;2015)'!$A$76:$B$135</definedName>
    <definedName name="_xlnm.Print_Area" localSheetId="8">'Business_areas-Q'!$E$3:$AI$131</definedName>
    <definedName name="_xlnm.Print_Area" localSheetId="17">'Business_areas-Y'!$E$3:$O$66</definedName>
    <definedName name="_xlnm.Print_Area" localSheetId="6">'Change_in_consolidated_equity-Q'!$E$3:$AR$16</definedName>
    <definedName name="_xlnm.Print_Area" localSheetId="2">'Change_in_net_sales-Q'!$A$3:$AQ$18</definedName>
    <definedName name="_xlnm.Print_Area" localSheetId="13">'Change_in_net_sales-Y'!$A$3:$U$11</definedName>
    <definedName name="_xlnm.Print_Area" localSheetId="4">'Consolidated_balance_sheet-Q'!$E$4:$AQ$52</definedName>
    <definedName name="_xlnm.Print_Area" localSheetId="15">'Consolidated_balance_sheet-Y'!$A$3:$M$51</definedName>
    <definedName name="_xlnm.Print_Area" localSheetId="5">'Consolidated_cash_flow-Q'!$E$4:$AQ$96</definedName>
    <definedName name="_xlnm.Print_Area" localSheetId="16">'Consolidated_cash_flow-Y'!$A$3:$N$50</definedName>
    <definedName name="_xlnm.Print_Area" localSheetId="28">'Dividend-Y'!$A$1:$W$10</definedName>
    <definedName name="_xlnm.Print_Area" localSheetId="25">'Employees_by_country-Y'!$E$1:$W$105</definedName>
    <definedName name="_xlnm.Print_Area" localSheetId="1">'Income_statement-Q'!$E$4:$AQ$103</definedName>
    <definedName name="_xlnm.Print_Area" localSheetId="12">'Income_statement-Y'!$D$3:$V$49</definedName>
    <definedName name="_xlnm.Print_Area" localSheetId="10">'Key_ratios-Q'!$E$3:$AQ$51</definedName>
    <definedName name="_xlnm.Print_Area" localSheetId="21">'Major_Appliances_AP-Y'!$A$1:$N$18</definedName>
    <definedName name="_xlnm.Print_Area" localSheetId="18">'Major_Appliances_Europe-Y'!$A$1:$N$18</definedName>
    <definedName name="_xlnm.Print_Area" localSheetId="20">'Major_Appliances_LA-Y'!$A$1:$N$18</definedName>
    <definedName name="_xlnm.Print_Area" localSheetId="19">'Major_Appliances_NA-Y'!$A$1:$N$18</definedName>
    <definedName name="_xlnm.Print_Area" localSheetId="3">'Material_profit_or_loss_items-Q'!$E$4:$AO$56</definedName>
    <definedName name="_xlnm.Print_Area" localSheetId="14">'Material_profit_or_loss_items-Y'!$B$4:$Q$46</definedName>
    <definedName name="_xlnm.Print_Area" localSheetId="11">'Net_debt-Q'!$E$4:$AR$23</definedName>
    <definedName name="_xlnm.Print_Area" localSheetId="27">'Net_debt-Y'!$A$1:$T$12</definedName>
    <definedName name="_xlnm.Print_Area" localSheetId="23">'Professional_Products-Y'!$A$1:$N$16</definedName>
    <definedName name="_xlnm.Print_Area" localSheetId="29">'Rating-Y'!$E$4:$Q$11</definedName>
    <definedName name="_xlnm.Print_Area" localSheetId="22">'Small_Appliances-Y'!$A$1:$N$16</definedName>
    <definedName name="_xlnm.Print_Area" localSheetId="7">'Working_cap_and_net_assets-Q'!$E$3:$AQ$21</definedName>
    <definedName name="_xlnm.Print_Titles" localSheetId="8">'Business_areas-Q'!$E:$E,'Business_areas-Q'!$3:$6</definedName>
    <definedName name="_xlnm.Print_Titles" localSheetId="17">'Business_areas-Y'!$E:$E,'Business_areas-Y'!$3:$6</definedName>
    <definedName name="_xlnm.Print_Titles" localSheetId="25">'Employees_by_country-Y'!$3:$7</definedName>
    <definedName name="_xlnm.Print_Titles" localSheetId="24">'Net_sales_by_country-Y'!$3:$7</definedName>
  </definedNames>
  <calcPr fullCalcOnLoad="1"/>
</workbook>
</file>

<file path=xl/sharedStrings.xml><?xml version="1.0" encoding="utf-8"?>
<sst xmlns="http://schemas.openxmlformats.org/spreadsheetml/2006/main" count="4509" uniqueCount="614">
  <si>
    <t>2007 Q1</t>
  </si>
  <si>
    <t>2007 Q2</t>
  </si>
  <si>
    <t>2007 Q3</t>
  </si>
  <si>
    <t>2007 Q4</t>
  </si>
  <si>
    <t>2008 Q1</t>
  </si>
  <si>
    <t>2008 Q2</t>
  </si>
  <si>
    <t>2008 Q3</t>
  </si>
  <si>
    <t>2008 Q4</t>
  </si>
  <si>
    <t>2009 Q1</t>
  </si>
  <si>
    <t>2009 Q2</t>
  </si>
  <si>
    <t>Net sales</t>
  </si>
  <si>
    <t>Cost of goods sold</t>
  </si>
  <si>
    <t>Gross operating income</t>
  </si>
  <si>
    <t>Selling expenses</t>
  </si>
  <si>
    <t>Administrative expenses</t>
  </si>
  <si>
    <t>Other operating income/expenses</t>
  </si>
  <si>
    <t>Items affecting comparability</t>
  </si>
  <si>
    <t>Operating income</t>
  </si>
  <si>
    <t>Financial items, net</t>
  </si>
  <si>
    <t>Income after financial items</t>
  </si>
  <si>
    <t>Taxes</t>
  </si>
  <si>
    <t>Income for the period</t>
  </si>
  <si>
    <t>Income tax relating to components of other comprehensive income</t>
  </si>
  <si>
    <t>Total comprehensive income for the period</t>
  </si>
  <si>
    <t>Income for the period attributable to:</t>
  </si>
  <si>
    <t>Equity holders of the Parent Company</t>
  </si>
  <si>
    <t>Non-controlling interests in income for the period</t>
  </si>
  <si>
    <t>Total</t>
  </si>
  <si>
    <t>Total comprehensive income for the period attributable to:</t>
  </si>
  <si>
    <t>Non-controlling interest in income for the period</t>
  </si>
  <si>
    <t>-</t>
  </si>
  <si>
    <t>Amounts in SEKm unless otherwise indicated</t>
  </si>
  <si>
    <t>Quarter</t>
  </si>
  <si>
    <t>Year-to-date</t>
  </si>
  <si>
    <t>Headinglong</t>
  </si>
  <si>
    <t>Heading2</t>
  </si>
  <si>
    <t>Plain</t>
  </si>
  <si>
    <t>Subtotal</t>
  </si>
  <si>
    <t>Break</t>
  </si>
  <si>
    <t>y</t>
  </si>
  <si>
    <t>Assets</t>
  </si>
  <si>
    <t>Property, plant and equipment</t>
  </si>
  <si>
    <t>Goodwill</t>
  </si>
  <si>
    <t>Other intangible assets</t>
  </si>
  <si>
    <t>Investments in associates</t>
  </si>
  <si>
    <t>Deferred tax assets</t>
  </si>
  <si>
    <t>Financial assets</t>
  </si>
  <si>
    <t>Other non-current assets</t>
  </si>
  <si>
    <t>Total non-current assets</t>
  </si>
  <si>
    <t>Inventories</t>
  </si>
  <si>
    <t>Trade receivables</t>
  </si>
  <si>
    <t>Tax assets</t>
  </si>
  <si>
    <t>Derivatives</t>
  </si>
  <si>
    <t>Other current assets</t>
  </si>
  <si>
    <t>Short-term investments</t>
  </si>
  <si>
    <t>Cash and cash equivalents</t>
  </si>
  <si>
    <t>Total current assets</t>
  </si>
  <si>
    <t>Total assets</t>
  </si>
  <si>
    <t>Equity and liabilities</t>
  </si>
  <si>
    <t>Equity attributable to equity holders of the Parent Company</t>
  </si>
  <si>
    <t>Share capital</t>
  </si>
  <si>
    <t>Other paid-in capital</t>
  </si>
  <si>
    <t>Other reserves</t>
  </si>
  <si>
    <t>Retained earnings</t>
  </si>
  <si>
    <t>Total equity</t>
  </si>
  <si>
    <t>Long-term borrowings</t>
  </si>
  <si>
    <t>Deferred tax liabilities</t>
  </si>
  <si>
    <t>Provisions for post-employment benefits</t>
  </si>
  <si>
    <t>Other provisions</t>
  </si>
  <si>
    <t>Total non-current liabilities</t>
  </si>
  <si>
    <t>Accounts payable</t>
  </si>
  <si>
    <t>Tax liabilities</t>
  </si>
  <si>
    <t>Short-term borrowings</t>
  </si>
  <si>
    <t>Total current liabilities</t>
  </si>
  <si>
    <t>Total equity and liabilities</t>
  </si>
  <si>
    <t>Contingent liabilities</t>
  </si>
  <si>
    <t>Note</t>
  </si>
  <si>
    <t>Operations</t>
  </si>
  <si>
    <t>Depreciation and amortization</t>
  </si>
  <si>
    <t>Restructuring provisions</t>
  </si>
  <si>
    <t>Financial items paid, net</t>
  </si>
  <si>
    <t>Taxes paid</t>
  </si>
  <si>
    <t>Cash flow from operations, excluding change
in operating assets and liabilities</t>
  </si>
  <si>
    <t>Change in operating assets and liabilities</t>
  </si>
  <si>
    <t>Change in inventories</t>
  </si>
  <si>
    <t>Change in trade receivables</t>
  </si>
  <si>
    <t>Change in accounts payable</t>
  </si>
  <si>
    <t>Cash flow from change in operating assets and liabilities</t>
  </si>
  <si>
    <t>Cash flow from operations</t>
  </si>
  <si>
    <t>Investments</t>
  </si>
  <si>
    <t>Divestment of operations</t>
  </si>
  <si>
    <t>Capital expenditure in property, plant and equipment</t>
  </si>
  <si>
    <t>Capitalization of product development</t>
  </si>
  <si>
    <t>Other</t>
  </si>
  <si>
    <t>Cash flow from investments</t>
  </si>
  <si>
    <t>Cash flow from operations and investments</t>
  </si>
  <si>
    <t>Financing</t>
  </si>
  <si>
    <t>Change in short-term investments</t>
  </si>
  <si>
    <t>Change in short-term borrowings</t>
  </si>
  <si>
    <t>New long-term borrowings</t>
  </si>
  <si>
    <t>Amortization of long-term borrowings</t>
  </si>
  <si>
    <t>Dividend</t>
  </si>
  <si>
    <t>Sale of shares</t>
  </si>
  <si>
    <t>Cash flow from financing</t>
  </si>
  <si>
    <t>Total cash flow</t>
  </si>
  <si>
    <t>Cash and cash equivalents at beginning of period</t>
  </si>
  <si>
    <t>Exchange-rate differences</t>
  </si>
  <si>
    <t>Cash and cash equivalents at end of period</t>
  </si>
  <si>
    <t>Redemption of shares</t>
  </si>
  <si>
    <t xml:space="preserve"> -</t>
  </si>
  <si>
    <t xml:space="preserve">Opening balance </t>
  </si>
  <si>
    <t>Share-based payment</t>
  </si>
  <si>
    <t>Total transactions with equity holders</t>
  </si>
  <si>
    <t>Closing balance</t>
  </si>
  <si>
    <t>Restructuring provisions and write-downs</t>
  </si>
  <si>
    <t>Appliances plant in Changsha, China</t>
  </si>
  <si>
    <t>Appliances plant in Porcia, Italy</t>
  </si>
  <si>
    <t>Appliances plant in St. Petersburg, Russia</t>
  </si>
  <si>
    <t>Appliances plants in Scandicci and Susegana, Italy</t>
  </si>
  <si>
    <t>Reversal of unused restructuring provisions</t>
  </si>
  <si>
    <t>Appliances plant in Spennymoor, UK</t>
  </si>
  <si>
    <t>Appliances plant in Fredericia, Denmark</t>
  </si>
  <si>
    <t>Provisions</t>
  </si>
  <si>
    <t>Prepaid and accrued income and expenses</t>
  </si>
  <si>
    <t>Taxes and other assets and liabilities</t>
  </si>
  <si>
    <t xml:space="preserve">Working capital </t>
  </si>
  <si>
    <t>Deferred tax assets and liabilities</t>
  </si>
  <si>
    <t>Net assets</t>
  </si>
  <si>
    <t>Average net assets</t>
  </si>
  <si>
    <t>Working capital and net assets</t>
  </si>
  <si>
    <t>Average number of employees</t>
  </si>
  <si>
    <t>Professional Products</t>
  </si>
  <si>
    <t>Group common costs, etc.</t>
  </si>
  <si>
    <t>Key ratios</t>
  </si>
  <si>
    <t>Total operating assets and liabilities</t>
  </si>
  <si>
    <t>Liquid funds</t>
  </si>
  <si>
    <t>Interest-bearing liabilities</t>
  </si>
  <si>
    <t>Equity</t>
  </si>
  <si>
    <t xml:space="preserve">Total </t>
  </si>
  <si>
    <t>Net assets by business area</t>
  </si>
  <si>
    <t>Sales growth</t>
  </si>
  <si>
    <t>Nav_groups</t>
  </si>
  <si>
    <t>Contents</t>
  </si>
  <si>
    <t>finstat</t>
  </si>
  <si>
    <t>Graph_attr</t>
  </si>
  <si>
    <t>Graph_unit</t>
  </si>
  <si>
    <t>sv</t>
  </si>
  <si>
    <t>en</t>
  </si>
  <si>
    <t>h</t>
  </si>
  <si>
    <t>x</t>
  </si>
  <si>
    <t>u</t>
  </si>
  <si>
    <t>excl.
Husqvarna</t>
  </si>
  <si>
    <t>WESTERN EUROPE</t>
  </si>
  <si>
    <t>Italy</t>
  </si>
  <si>
    <t>Sweden</t>
  </si>
  <si>
    <t>Germany</t>
  </si>
  <si>
    <t>Spain</t>
  </si>
  <si>
    <t>France</t>
  </si>
  <si>
    <t>UK</t>
  </si>
  <si>
    <t>Denmark</t>
  </si>
  <si>
    <t>Switzerland</t>
  </si>
  <si>
    <t>Belgium</t>
  </si>
  <si>
    <t>Austria</t>
  </si>
  <si>
    <t>The Netherlands</t>
  </si>
  <si>
    <t>Finland</t>
  </si>
  <si>
    <t>Greece</t>
  </si>
  <si>
    <t>Norway</t>
  </si>
  <si>
    <t>Ireland</t>
  </si>
  <si>
    <t>Portugal</t>
  </si>
  <si>
    <t>Luxembourg</t>
  </si>
  <si>
    <t>Total Western Europe</t>
  </si>
  <si>
    <t>EASTERN EUROPE</t>
  </si>
  <si>
    <t>Hungary</t>
  </si>
  <si>
    <t>Romania</t>
  </si>
  <si>
    <t>Poland</t>
  </si>
  <si>
    <t>Czech Republic</t>
  </si>
  <si>
    <t>Russia</t>
  </si>
  <si>
    <t>Baltic nations</t>
  </si>
  <si>
    <t>Turkey</t>
  </si>
  <si>
    <t>Slovakia</t>
  </si>
  <si>
    <t>Bulgaria</t>
  </si>
  <si>
    <t>Slovenia</t>
  </si>
  <si>
    <t>Ukraine</t>
  </si>
  <si>
    <t>Cyprus</t>
  </si>
  <si>
    <t>Total Eastern Europe</t>
  </si>
  <si>
    <t>Total EUROPE</t>
  </si>
  <si>
    <t>NORTH AMERICA</t>
  </si>
  <si>
    <t>USA</t>
  </si>
  <si>
    <t>Canada</t>
  </si>
  <si>
    <t>Total North America</t>
  </si>
  <si>
    <t>LATIN AMERICA</t>
  </si>
  <si>
    <t>Brazil</t>
  </si>
  <si>
    <t>Mexico</t>
  </si>
  <si>
    <t>Colombia</t>
  </si>
  <si>
    <t>Ecuador</t>
  </si>
  <si>
    <t>Argentina</t>
  </si>
  <si>
    <t>Peru</t>
  </si>
  <si>
    <t>Venezuela</t>
  </si>
  <si>
    <t>Paraguay</t>
  </si>
  <si>
    <t>Chile</t>
  </si>
  <si>
    <t>Uruguay</t>
  </si>
  <si>
    <t>Total Latin America</t>
  </si>
  <si>
    <t>ASIA</t>
  </si>
  <si>
    <t>Far East</t>
  </si>
  <si>
    <t>China</t>
  </si>
  <si>
    <t>India</t>
  </si>
  <si>
    <t>Indonesia</t>
  </si>
  <si>
    <t>Thailand</t>
  </si>
  <si>
    <t>Japan</t>
  </si>
  <si>
    <t>Malaysia</t>
  </si>
  <si>
    <t>Singapore</t>
  </si>
  <si>
    <t>Vietnam</t>
  </si>
  <si>
    <t>Philippines</t>
  </si>
  <si>
    <t>Hong Kong</t>
  </si>
  <si>
    <t>South Korea</t>
  </si>
  <si>
    <t>Taiwan</t>
  </si>
  <si>
    <t>Total Far East</t>
  </si>
  <si>
    <t>Middle East</t>
  </si>
  <si>
    <t>Total Middle East</t>
  </si>
  <si>
    <t>Total ASIA</t>
  </si>
  <si>
    <t>AFRICA</t>
  </si>
  <si>
    <t>South Africa</t>
  </si>
  <si>
    <t>Algeria</t>
  </si>
  <si>
    <t>Tunisia</t>
  </si>
  <si>
    <t>Total Africa</t>
  </si>
  <si>
    <t>OCEANIA</t>
  </si>
  <si>
    <t>Australia</t>
  </si>
  <si>
    <t>New Zealand</t>
  </si>
  <si>
    <t>Total Oceania</t>
  </si>
  <si>
    <t>GROUP TOTAL</t>
  </si>
  <si>
    <t>Net sales by country (Y)</t>
  </si>
  <si>
    <t>Iceland</t>
  </si>
  <si>
    <t>Egypt</t>
  </si>
  <si>
    <t>Morocco</t>
  </si>
  <si>
    <t>1) Sales by country receiving products.</t>
  </si>
  <si>
    <t>Eleven-year review</t>
  </si>
  <si>
    <t>Net sales and income</t>
  </si>
  <si>
    <t xml:space="preserve">Net sales </t>
  </si>
  <si>
    <t xml:space="preserve">Depreciation and amortization </t>
  </si>
  <si>
    <t xml:space="preserve">Operating income </t>
  </si>
  <si>
    <t xml:space="preserve">Income after financial items </t>
  </si>
  <si>
    <t>Cash flow</t>
  </si>
  <si>
    <t>Cash flow from operations excluding change in operating assets and liabilities</t>
  </si>
  <si>
    <t>Changes in operating assets and liabilities</t>
  </si>
  <si>
    <t xml:space="preserve">   of which capital expenditures</t>
  </si>
  <si>
    <t>Dividends and redemption and repurchase of shares</t>
  </si>
  <si>
    <t>Capital expenditure as % of net sales</t>
  </si>
  <si>
    <t>Income after financial items as % of net sales</t>
  </si>
  <si>
    <t>Financial position</t>
  </si>
  <si>
    <t xml:space="preserve">Net assets </t>
  </si>
  <si>
    <t>Working capital</t>
  </si>
  <si>
    <t>Trading price of B-shares at year-end</t>
  </si>
  <si>
    <t xml:space="preserve">Dividend as % of equity </t>
  </si>
  <si>
    <t>Other data</t>
  </si>
  <si>
    <t>Salaries and remuneration</t>
  </si>
  <si>
    <t>Number of shareholders</t>
  </si>
  <si>
    <r>
      <t>Income for the period</t>
    </r>
    <r>
      <rPr>
        <vertAlign val="superscript"/>
        <sz val="10"/>
        <rFont val="Arial"/>
        <family val="2"/>
      </rPr>
      <t xml:space="preserve">         </t>
    </r>
  </si>
  <si>
    <r>
      <t xml:space="preserve">Data per share, SEK </t>
    </r>
    <r>
      <rPr>
        <b/>
        <vertAlign val="superscript"/>
        <sz val="10"/>
        <rFont val="Geneva"/>
        <family val="0"/>
      </rPr>
      <t xml:space="preserve"> </t>
    </r>
  </si>
  <si>
    <t>Net borrowings</t>
  </si>
  <si>
    <t>Total borrowings</t>
  </si>
  <si>
    <t>Net debt/equity</t>
  </si>
  <si>
    <t>Prepaid interest expenses and accrued interest income</t>
  </si>
  <si>
    <t>Accrued interest expenses and prepaid interest income</t>
  </si>
  <si>
    <t>Long-term debt</t>
  </si>
  <si>
    <t>Outlook</t>
  </si>
  <si>
    <t>Short-term debt</t>
  </si>
  <si>
    <t>Rating</t>
  </si>
  <si>
    <t>Standard &amp; Poor's</t>
  </si>
  <si>
    <t>Short-term debt, Nordic</t>
  </si>
  <si>
    <t>BBB</t>
  </si>
  <si>
    <t>Stable</t>
  </si>
  <si>
    <t>A-2</t>
  </si>
  <si>
    <t>K-2</t>
  </si>
  <si>
    <t>BBB+</t>
  </si>
  <si>
    <t>Net borrowings (Q)</t>
  </si>
  <si>
    <t>Total distribution to shareholders</t>
  </si>
  <si>
    <t>Redemption</t>
  </si>
  <si>
    <t>Year</t>
  </si>
  <si>
    <t>non IFRS</t>
  </si>
  <si>
    <t>Minority interests in net income</t>
  </si>
  <si>
    <t>Available for sale instruments</t>
  </si>
  <si>
    <t>Cash flow hedges</t>
  </si>
  <si>
    <t>Exchange differences on translation of foreign operations</t>
  </si>
  <si>
    <t>Other comprehensive income, net of tax</t>
  </si>
  <si>
    <t>SEKm</t>
  </si>
  <si>
    <t>Y1</t>
  </si>
  <si>
    <t>Financial items paid</t>
  </si>
  <si>
    <t>Cash flow from operations, excluding change in operating assets and liabilities</t>
  </si>
  <si>
    <t>Repurchase of shares</t>
  </si>
  <si>
    <t>AB Electrolux</t>
  </si>
  <si>
    <t>Financial information</t>
  </si>
  <si>
    <t>Quarterly data</t>
  </si>
  <si>
    <t>Cash flow (Q)</t>
  </si>
  <si>
    <t>Working capital and net assets (Q)</t>
  </si>
  <si>
    <t>Business areas (Q)</t>
  </si>
  <si>
    <t>Net assets by business area (Q)</t>
  </si>
  <si>
    <t>Key ratios (Q)</t>
  </si>
  <si>
    <t>Yearly data</t>
  </si>
  <si>
    <t>Cash flow (Y)</t>
  </si>
  <si>
    <t>Employees by country (Y)</t>
  </si>
  <si>
    <t>Dividend (Y)</t>
  </si>
  <si>
    <t>Debt information</t>
  </si>
  <si>
    <t>Capital expenditure</t>
  </si>
  <si>
    <t>Income statement (Q)</t>
  </si>
  <si>
    <t>Change in net sales (Q)</t>
  </si>
  <si>
    <t>Balance sheet (Q)</t>
  </si>
  <si>
    <t>Change in equity (Q)</t>
  </si>
  <si>
    <t>Income statement (Y)</t>
  </si>
  <si>
    <t>Balance sheet (Y)</t>
  </si>
  <si>
    <t>Divestment of Indian operation</t>
  </si>
  <si>
    <t>Divestment of Electrolux Financial Corp, USA</t>
  </si>
  <si>
    <t>Divestment of 50% stake in Nordwaggon AB, Sweden</t>
  </si>
  <si>
    <t>Refrigerator plant in Greenville, USA</t>
  </si>
  <si>
    <t>Vacuum-cleaner plant in Västervik, Sweden</t>
  </si>
  <si>
    <t>Floor-care products, North America</t>
  </si>
  <si>
    <t>Appliances, Australia</t>
  </si>
  <si>
    <t>Cooker factory in Reims, France</t>
  </si>
  <si>
    <t>Tumble dryer Plant, Denmark</t>
  </si>
  <si>
    <t>Appliances, Europe</t>
  </si>
  <si>
    <t>Appliances plant in Nuremberg, Germany</t>
  </si>
  <si>
    <t>Appliances plant in Torsvik, Sweden</t>
  </si>
  <si>
    <t>Appliances plants in Adelaide, Australia</t>
  </si>
  <si>
    <t>Reversal of unused provisions</t>
  </si>
  <si>
    <t>Settlement in vacuum-cleaner lawsuit in USA</t>
  </si>
  <si>
    <t>Change in net sales (Y)</t>
  </si>
  <si>
    <t>Total items affecting comparability</t>
  </si>
  <si>
    <t xml:space="preserve">Business areas (Y) </t>
  </si>
  <si>
    <t>Key ratios (Y)</t>
  </si>
  <si>
    <t>Professional Products (Y)</t>
  </si>
  <si>
    <t>Cash and cash equivalents and short term investmens</t>
  </si>
  <si>
    <t>Net sales by country</t>
  </si>
  <si>
    <t>Average number of employees by country</t>
  </si>
  <si>
    <t>Change in net sales</t>
  </si>
  <si>
    <t>Short-term loans</t>
  </si>
  <si>
    <t>Total divestments (capital gain/loss)</t>
  </si>
  <si>
    <t>Total restructuring provisions and write-downs</t>
  </si>
  <si>
    <t>K-1</t>
  </si>
  <si>
    <t>Group total</t>
  </si>
  <si>
    <t>2009 Q3</t>
  </si>
  <si>
    <t>2005: Exclusive of the Outdoor Product operation that was distributed to shareholders in June 2006.</t>
  </si>
  <si>
    <t>Income statement</t>
  </si>
  <si>
    <t>Balance sheet</t>
  </si>
  <si>
    <t>Change in equity</t>
  </si>
  <si>
    <t>Cash flow statement</t>
  </si>
  <si>
    <t>Distribution to shareholders</t>
  </si>
  <si>
    <t xml:space="preserve">Operating income, excl. items affecting comparability </t>
  </si>
  <si>
    <t xml:space="preserve"> 2001</t>
  </si>
  <si>
    <t xml:space="preserve"> 2002</t>
  </si>
  <si>
    <t xml:space="preserve"> 2003</t>
  </si>
  <si>
    <t xml:space="preserve"> 2004</t>
  </si>
  <si>
    <t xml:space="preserve"> 2005</t>
  </si>
  <si>
    <t xml:space="preserve"> 2006</t>
  </si>
  <si>
    <t>2007</t>
  </si>
  <si>
    <t xml:space="preserve"> 2008</t>
  </si>
  <si>
    <t>Repayment schedule long term borrowings</t>
  </si>
  <si>
    <t>2009 Q4</t>
  </si>
  <si>
    <t>Appliances plant in Alcala, Spain</t>
  </si>
  <si>
    <t>Appliances plants in Webster City and Jefferson, USA</t>
  </si>
  <si>
    <t>Office consolidation in USA</t>
  </si>
  <si>
    <t>Extra contributions to pension funds</t>
  </si>
  <si>
    <t>2009</t>
  </si>
  <si>
    <t>Appliances plant in Alcalà, Spain</t>
  </si>
  <si>
    <t>2010 Q1</t>
  </si>
  <si>
    <t>Appliances plant in Motala, Sweden</t>
  </si>
  <si>
    <t>Dividend payable</t>
  </si>
  <si>
    <t xml:space="preserve">Business areas* </t>
  </si>
  <si>
    <t>** Changes in net sales and operating income are in comparable currencies as of 2007 Q1.</t>
  </si>
  <si>
    <t>2010 Q2</t>
  </si>
  <si>
    <t>Appliances plant in Revin, France</t>
  </si>
  <si>
    <t>Appliances plant in Forli, Italy</t>
  </si>
  <si>
    <t>Business areas</t>
  </si>
  <si>
    <t>2010 Q3</t>
  </si>
  <si>
    <t>2010 Q4</t>
  </si>
  <si>
    <t>Appliances plant in L'Assomption, Canada</t>
  </si>
  <si>
    <t>Reduced workforce in Major Appliances, Europe</t>
  </si>
  <si>
    <t>2009*</t>
  </si>
  <si>
    <t>2010</t>
  </si>
  <si>
    <t>Data as of year</t>
  </si>
  <si>
    <t>2011 Q1</t>
  </si>
  <si>
    <t>Small Appliances</t>
  </si>
  <si>
    <t>Major Appliances Europe, Middle East and Africa</t>
  </si>
  <si>
    <t>Major Appliances North America</t>
  </si>
  <si>
    <t>Major Appliances Latin America</t>
  </si>
  <si>
    <t>Major Appliances Asia/Pacific</t>
  </si>
  <si>
    <t>* 2009 and 2010: Restated</t>
  </si>
  <si>
    <t>2006*</t>
  </si>
  <si>
    <t>2007*</t>
  </si>
  <si>
    <t>2008*</t>
  </si>
  <si>
    <t>2010 Q1*</t>
  </si>
  <si>
    <t>2010 Q2*</t>
  </si>
  <si>
    <t>2010 Q3*</t>
  </si>
  <si>
    <t>2010 Q4'</t>
  </si>
  <si>
    <t>Major Appliances Asia Pacific (Y)</t>
  </si>
  <si>
    <t>Major Appliances North America (Y)</t>
  </si>
  <si>
    <t xml:space="preserve">Major Appliances Latin America </t>
  </si>
  <si>
    <t>Small Appliances (Y)</t>
  </si>
  <si>
    <t>Major Appliances Europe, Middle East and Africa (Y)</t>
  </si>
  <si>
    <t>2011 Q2</t>
  </si>
  <si>
    <t>2011 Q3</t>
  </si>
  <si>
    <t>Acquisition of operations</t>
  </si>
  <si>
    <t>2011 Q4</t>
  </si>
  <si>
    <t>Appliances plant in Kinston, USA</t>
  </si>
  <si>
    <t>Capitalization of software</t>
  </si>
  <si>
    <t>Dividend to non-controlling interests</t>
  </si>
  <si>
    <t>2011</t>
  </si>
  <si>
    <t>2012 Q1</t>
  </si>
  <si>
    <t>* Restated for new Business Areas</t>
  </si>
  <si>
    <t>2011 Q1**</t>
  </si>
  <si>
    <t>2011 Q4''</t>
  </si>
  <si>
    <t>2012 Q2</t>
  </si>
  <si>
    <t>2011 Q2**</t>
  </si>
  <si>
    <t>2012 Q3</t>
  </si>
  <si>
    <t>2011 Q3**</t>
  </si>
  <si>
    <t>—</t>
  </si>
  <si>
    <t>2012 Q4</t>
  </si>
  <si>
    <t>2012</t>
  </si>
  <si>
    <t>Remeasurement of pension net liability</t>
  </si>
  <si>
    <t>Pension plan assets</t>
  </si>
  <si>
    <t>Pension assets/liabilities</t>
  </si>
  <si>
    <t>Other non-cash items</t>
  </si>
  <si>
    <t>Change in other operating assets, liabilities and provisions</t>
  </si>
  <si>
    <t>2013 Q1</t>
  </si>
  <si>
    <t>Items that may be reclassified subsequently to income for the period:</t>
  </si>
  <si>
    <t xml:space="preserve">Items that will not be reclassified to income for the period: </t>
  </si>
  <si>
    <t>Income tax relating to items that will not be reclassified</t>
  </si>
  <si>
    <t>Financial Net Debt</t>
  </si>
  <si>
    <t>Net Debt</t>
  </si>
  <si>
    <t>Net debt</t>
  </si>
  <si>
    <t>Financial net debt</t>
  </si>
  <si>
    <t>2013 Q2</t>
  </si>
  <si>
    <t>Figures for 2012 restated in accordance with IAS19</t>
  </si>
  <si>
    <t>2013 Q3</t>
  </si>
  <si>
    <t>2013 Q4</t>
  </si>
  <si>
    <t>2013</t>
  </si>
  <si>
    <t>Impairment of ERP system</t>
  </si>
  <si>
    <t>Negative</t>
  </si>
  <si>
    <t>1) Includes common functions, tax items and restructuring provisions.</t>
  </si>
  <si>
    <t>Manufacturing footprint restructuring</t>
  </si>
  <si>
    <t>Program for reduction of overhead costs</t>
  </si>
  <si>
    <t>** Assets and liabilities but not net assets restated for change in elimination method.</t>
  </si>
  <si>
    <t>2014 Q1</t>
  </si>
  <si>
    <t>2014 Q2</t>
  </si>
  <si>
    <t>2014 Q3</t>
  </si>
  <si>
    <t>2014 Q4</t>
  </si>
  <si>
    <t>2014</t>
  </si>
  <si>
    <t>2015 Q1</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</si>
  <si>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For a specification, read the press release; Restated figures for Electrolux for 2014, March 30, 2015 at www.electroluxgroup.com</t>
  </si>
  <si>
    <t>2015 Q2</t>
  </si>
  <si>
    <t>2015 Q3</t>
  </si>
  <si>
    <t>Total Group, excluding items affecting comparability ***)</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</si>
  <si>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</si>
  <si>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Items affecting comparability***)</t>
  </si>
  <si>
    <t>Items affecting comparability ***)</t>
  </si>
  <si>
    <t>Total Group</t>
  </si>
  <si>
    <t>Items affecting comparability*</t>
  </si>
  <si>
    <t>Available for sale instruments **</t>
  </si>
  <si>
    <t>Cash flow hedges ***</t>
  </si>
  <si>
    <t>Other comprehensive income, net of tax ****</t>
  </si>
  <si>
    <t>Other comprehensive income, net of tax *****</t>
  </si>
  <si>
    <t>** Available-for-sale instruments refer to the fair-value changes in Electrolux share holdings in Videocon Industries Ltd., India. The share holdings are classified as available-for-sale in accordance with IFRS.</t>
  </si>
  <si>
    <t>*** Cash-flow hedges refer to changes in valuation of currency contracts used for hedging future foreign currency transactions. When the actual transaction occurs the result is reporter within operating income.</t>
  </si>
  <si>
    <t>**** Exchange differences on translation of foreign operations refer to changes in exchange rates when net investments in foreign subsidiaries are translated to SEK. The amount is reported net of hedging contracts.</t>
  </si>
  <si>
    <t>Exchange differences on translation of foreign operations ****</t>
  </si>
  <si>
    <t>***** These items were previously reported within the financial statement; Changes in consolidated equity.</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</si>
  <si>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</si>
  <si>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</si>
  <si>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Total Group, excluding items affecting comparability*</t>
  </si>
  <si>
    <t>2015 Q4</t>
  </si>
  <si>
    <t>2015</t>
  </si>
  <si>
    <t>2016 Q1</t>
  </si>
  <si>
    <t>Share-based payments</t>
  </si>
  <si>
    <t>2016 Q2</t>
  </si>
  <si>
    <t xml:space="preserve">Remeasurement of provisions for post-employment benefits </t>
  </si>
  <si>
    <t xml:space="preserve">Non-controlling interests </t>
  </si>
  <si>
    <t>Non-controlling interest</t>
  </si>
  <si>
    <t>Income tax relating to items that may be reclassified</t>
  </si>
  <si>
    <t>Other liabilities</t>
  </si>
  <si>
    <t>Dividend to equity holders of the Parent Company</t>
  </si>
  <si>
    <t>Financial derivatives liabilities</t>
  </si>
  <si>
    <t>Net provision for post-employment benefits</t>
  </si>
  <si>
    <t>Provisions for post-employment benefits, net</t>
  </si>
  <si>
    <t>Se över årsredovisningen</t>
  </si>
  <si>
    <t>Shares at year end excluding shares held by Electrolux</t>
  </si>
  <si>
    <t>Average number of shares excluding shares held by Electrolux</t>
  </si>
  <si>
    <t xml:space="preserve">Dividend </t>
  </si>
  <si>
    <t xml:space="preserve">3) Previously; Items affecting comparability. </t>
  </si>
  <si>
    <r>
      <t>Net assets as % of net sales</t>
    </r>
    <r>
      <rPr>
        <vertAlign val="superscript"/>
        <sz val="10"/>
        <rFont val="Arial"/>
        <family val="2"/>
      </rPr>
      <t xml:space="preserve"> 5)</t>
    </r>
  </si>
  <si>
    <r>
      <t>Trade receivables as % of net sales</t>
    </r>
    <r>
      <rPr>
        <vertAlign val="superscript"/>
        <sz val="10"/>
        <rFont val="Arial"/>
        <family val="2"/>
      </rPr>
      <t xml:space="preserve"> 5)</t>
    </r>
  </si>
  <si>
    <r>
      <t>Inventories as % of net sales</t>
    </r>
    <r>
      <rPr>
        <vertAlign val="superscript"/>
        <sz val="10"/>
        <rFont val="Arial"/>
        <family val="2"/>
      </rPr>
      <t xml:space="preserve"> 5)</t>
    </r>
  </si>
  <si>
    <t>5) Net sales are annualized.</t>
  </si>
  <si>
    <t>2) Amounts for 2012 have been restated where applicable as a 
consequence of the amended standard for pension accounting, IAS 19 Employee Benefits.</t>
  </si>
  <si>
    <t>Amounts in SEKm unless otherwise stated</t>
  </si>
  <si>
    <t>Repayment schedule of long-term borrowings, December 31</t>
  </si>
  <si>
    <t>Debenture and bond loans</t>
  </si>
  <si>
    <t>Bank and other loans</t>
  </si>
  <si>
    <t>Short-term part of long-term loans</t>
  </si>
  <si>
    <t>Per-share data, yearly</t>
  </si>
  <si>
    <t>P/E ratio, excluding items affecting comparability, 4)</t>
  </si>
  <si>
    <t xml:space="preserve"> 1) Adjusted for distribution of Husqvarna in June 2006, and for redemption in January 2007.</t>
  </si>
  <si>
    <t>2) Dividend as a percentage of income for the period. Excluding items affecting comparablity until 2014. As of 2015, the accounting practice of items affecting comparability for restructuring charges is no longer in use.</t>
  </si>
  <si>
    <t>3) Dividend per share divided by trading price at year-end.</t>
  </si>
  <si>
    <t xml:space="preserve">4) Cash flow from operations less capital expenditure, divided by the average number of shares excluding shares held by Electrolux. </t>
  </si>
  <si>
    <t>6) Trading price in relation to earnings per share.</t>
  </si>
  <si>
    <t>5) Market capitalization excluding shares held by Electrolux plus net borrowings and non-controlling interests, divided by operating income.</t>
  </si>
  <si>
    <t xml:space="preserve"> As of 2015, the accounting practice of items affecting comparability for restructuring charges is no longer in use.</t>
  </si>
  <si>
    <t>Financial derivatives assets</t>
  </si>
  <si>
    <r>
      <t>Margins</t>
    </r>
    <r>
      <rPr>
        <b/>
        <vertAlign val="superscript"/>
        <sz val="10"/>
        <rFont val="Geneva"/>
        <family val="0"/>
      </rPr>
      <t>4)</t>
    </r>
  </si>
  <si>
    <r>
      <rPr>
        <sz val="10"/>
        <rFont val="Arial"/>
        <family val="2"/>
      </rPr>
      <t>* Previously Items affecting comparablity. As of 2015, the accounting practice of items affecting comparability for restructuring charges is no longer used. Restructuring charges have previously been presented separately in the income statement and excluded in operating income by business area and selective key ratios.</t>
    </r>
    <r>
      <rPr>
        <sz val="10"/>
        <color indexed="10"/>
        <rFont val="Arial"/>
        <family val="2"/>
      </rPr>
      <t xml:space="preserve"> </t>
    </r>
  </si>
  <si>
    <t>Major profit or loss items*</t>
  </si>
  <si>
    <t>Material profit or loss items in operating income*</t>
  </si>
  <si>
    <r>
      <t>2005</t>
    </r>
    <r>
      <rPr>
        <b/>
        <vertAlign val="superscript"/>
        <sz val="10"/>
        <rFont val="Arial"/>
        <family val="2"/>
      </rPr>
      <t>1)</t>
    </r>
  </si>
  <si>
    <r>
      <t xml:space="preserve">2012 </t>
    </r>
    <r>
      <rPr>
        <b/>
        <vertAlign val="superscript"/>
        <sz val="10"/>
        <rFont val="Arial"/>
        <family val="2"/>
      </rPr>
      <t>2)</t>
    </r>
  </si>
  <si>
    <t>4) As of 2015 the accounting practis of items affecting comparability is no longer in use. Items affecting comparability/major profit or loss items were excluded in the margins for the years 2005 to 2013. 
2014 has been restated to include items affecting comparability.</t>
  </si>
  <si>
    <t>Terminated acqusition of GE Appliances</t>
  </si>
  <si>
    <t>Cost saving program Small Appliances</t>
  </si>
  <si>
    <t xml:space="preserve">Material profit or loss items* </t>
  </si>
  <si>
    <t>Operating cash flow after investments</t>
  </si>
  <si>
    <t xml:space="preserve">*As of 2015, the accounting practice of items affecting comparability for restructuring charges is no longer used. Restructuring charges have previously been presented separately in the income statement and excluded in operating income by business area and selective key ratios. </t>
  </si>
  <si>
    <t>Average net assets excluding items affecting comparability*</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</si>
  <si>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</si>
  <si>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 xml:space="preserve">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</si>
  <si>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Operating income per business area 2011-2015 in this table also include restructuring costs.</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</si>
  <si>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costs.Operating income per business area 2011-2015 in this table also include restructuring costs.</t>
  </si>
  <si>
    <r>
      <t>Material profit and loss items</t>
    </r>
    <r>
      <rPr>
        <vertAlign val="superscript"/>
        <sz val="10"/>
        <rFont val="Arial"/>
        <family val="2"/>
      </rPr>
      <t>3)</t>
    </r>
  </si>
  <si>
    <t>Material profit or loss items (Y)</t>
  </si>
  <si>
    <t>Net debt (Q)</t>
  </si>
  <si>
    <t>Net debt (Y)</t>
  </si>
  <si>
    <t>Share data</t>
  </si>
  <si>
    <t>Per share data (Y)</t>
  </si>
  <si>
    <t>Material profit or loss items (Q)</t>
  </si>
  <si>
    <t>%</t>
  </si>
  <si>
    <t>Operating margin</t>
  </si>
  <si>
    <t>Margin after financial items</t>
  </si>
  <si>
    <t>SEK</t>
  </si>
  <si>
    <t>million</t>
  </si>
  <si>
    <t>Earnings per share diluted</t>
  </si>
  <si>
    <t>Earnings per share</t>
  </si>
  <si>
    <t>Number of shares</t>
  </si>
  <si>
    <t>Average number of shares</t>
  </si>
  <si>
    <t>Diluted</t>
  </si>
  <si>
    <t>Margin</t>
  </si>
  <si>
    <t>Amounts in</t>
  </si>
  <si>
    <t>Organic growth</t>
  </si>
  <si>
    <t>Acquisitions and divestments</t>
  </si>
  <si>
    <t>Changes in exchange rates</t>
  </si>
  <si>
    <t>Total change in net sales</t>
  </si>
  <si>
    <t>Acquisition</t>
  </si>
  <si>
    <t>times/year</t>
  </si>
  <si>
    <t>Capital turnover rate</t>
  </si>
  <si>
    <t>Average number of shares excluding shares owned by Electrolux</t>
  </si>
  <si>
    <t>Operating margin, excl. items affecting comparability</t>
  </si>
  <si>
    <t>Earnings per share, excl. items affecting comparability</t>
  </si>
  <si>
    <t>Return on net assets</t>
  </si>
  <si>
    <t>Return on equity</t>
  </si>
  <si>
    <t>Equity per share</t>
  </si>
  <si>
    <t>Acquisitions</t>
  </si>
  <si>
    <t>EBITDA margin</t>
  </si>
  <si>
    <t xml:space="preserve">Return on equity </t>
  </si>
  <si>
    <t>Change in price during the year</t>
  </si>
  <si>
    <t>Trading price/equity</t>
  </si>
  <si>
    <t xml:space="preserve">Year-end trading price, B-shares </t>
  </si>
  <si>
    <t>Highest trading price, B-shares</t>
  </si>
  <si>
    <t>Lowest trading price, B-shares</t>
  </si>
  <si>
    <t>Dividend per share</t>
  </si>
  <si>
    <t>Earnings per share, excluding items affecting comparability</t>
  </si>
  <si>
    <r>
      <t xml:space="preserve">Dividend as a % of income for the period </t>
    </r>
    <r>
      <rPr>
        <vertAlign val="superscript"/>
        <sz val="8"/>
        <rFont val="Arial"/>
        <family val="2"/>
      </rPr>
      <t>2)</t>
    </r>
  </si>
  <si>
    <r>
      <t xml:space="preserve">Year-end trading price, B-shares </t>
    </r>
    <r>
      <rPr>
        <vertAlign val="superscript"/>
        <sz val="8"/>
        <rFont val="Arial"/>
        <family val="2"/>
      </rPr>
      <t>1)</t>
    </r>
  </si>
  <si>
    <r>
      <t xml:space="preserve">Dividend yield </t>
    </r>
    <r>
      <rPr>
        <vertAlign val="superscript"/>
        <sz val="8"/>
        <rFont val="Arial"/>
        <family val="2"/>
      </rPr>
      <t>3)</t>
    </r>
  </si>
  <si>
    <r>
      <t xml:space="preserve">Cash flow </t>
    </r>
    <r>
      <rPr>
        <vertAlign val="superscript"/>
        <sz val="8"/>
        <rFont val="Arial"/>
        <family val="2"/>
      </rPr>
      <t>4)</t>
    </r>
    <r>
      <rPr>
        <sz val="8"/>
        <rFont val="Arial"/>
        <family val="2"/>
      </rPr>
      <t xml:space="preserve"> </t>
    </r>
  </si>
  <si>
    <r>
      <t xml:space="preserve">EBIT multiple </t>
    </r>
    <r>
      <rPr>
        <vertAlign val="superscript"/>
        <sz val="8"/>
        <rFont val="Arial"/>
        <family val="2"/>
      </rPr>
      <t>5)</t>
    </r>
  </si>
  <si>
    <r>
      <t xml:space="preserve">P/E ratio </t>
    </r>
    <r>
      <rPr>
        <vertAlign val="superscript"/>
        <sz val="8"/>
        <rFont val="Arial"/>
        <family val="2"/>
      </rPr>
      <t>6)</t>
    </r>
  </si>
  <si>
    <t>Heading3</t>
  </si>
  <si>
    <r>
      <t xml:space="preserve">Other </t>
    </r>
    <r>
      <rPr>
        <vertAlign val="superscript"/>
        <sz val="10"/>
        <rFont val="Arial"/>
        <family val="2"/>
      </rPr>
      <t>1)</t>
    </r>
  </si>
  <si>
    <t>subtotal</t>
  </si>
  <si>
    <t>Quarter *)</t>
  </si>
  <si>
    <t>Material profit or loss items</t>
  </si>
  <si>
    <t>Yearly</t>
  </si>
  <si>
    <t>as of December 31</t>
  </si>
  <si>
    <t>Employees by country</t>
  </si>
  <si>
    <t>Repayment schedule of long-term borrowings</t>
  </si>
  <si>
    <t>December 31, 2015</t>
  </si>
  <si>
    <t>Per share data</t>
  </si>
  <si>
    <t>year</t>
  </si>
  <si>
    <t>Average maturities on long term borrowings</t>
  </si>
  <si>
    <t>Revolving credit facilities (unused)</t>
  </si>
  <si>
    <t>Note *)</t>
  </si>
  <si>
    <t>Quarter, Notes *) **)</t>
  </si>
  <si>
    <t>ratio</t>
  </si>
  <si>
    <t>no</t>
  </si>
  <si>
    <t>Interest coverage</t>
  </si>
  <si>
    <t>P/E ratio, excluding items affecting comparability</t>
  </si>
  <si>
    <t>EBIT mulitiple, excluding items affecting comparability</t>
  </si>
  <si>
    <t xml:space="preserve">*Material profit or loss items.. Previously Items affecting comparability.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t>
  </si>
  <si>
    <t xml:space="preserve">Total material profit or loss items </t>
  </si>
  <si>
    <t>* Previously items affecting comparability.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</si>
  <si>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Excluding items affecting comparability</t>
  </si>
  <si>
    <t>number</t>
  </si>
  <si>
    <t>Operating margin EMEA</t>
  </si>
  <si>
    <t>Operating margin North America</t>
  </si>
  <si>
    <t>Operating margin Latin America</t>
  </si>
  <si>
    <t>Operating margin Asia/Pacific</t>
  </si>
  <si>
    <t>Operating margin Small Appliances</t>
  </si>
  <si>
    <t>Operating margin Professional Products</t>
  </si>
  <si>
    <t>Operating margin total Group</t>
  </si>
  <si>
    <t>total</t>
  </si>
  <si>
    <t>2016 Q3</t>
  </si>
  <si>
    <t>Organic growth, %</t>
  </si>
  <si>
    <t>Operating margin,%</t>
  </si>
  <si>
    <t>2016 Q4</t>
  </si>
  <si>
    <t>2016</t>
  </si>
  <si>
    <t>A-</t>
  </si>
  <si>
    <t>2022—</t>
  </si>
  <si>
    <t>1) Including outdoor products, Husqvarna, which was distributed to the Electrolux shareholders in June 2006.</t>
  </si>
  <si>
    <t>EBITDA</t>
  </si>
</sst>
</file>

<file path=xl/styles.xml><?xml version="1.0" encoding="utf-8"?>
<styleSheet xmlns="http://schemas.openxmlformats.org/spreadsheetml/2006/main">
  <numFmts count="2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
    <numFmt numFmtId="176" formatCode="yyyy\-mm\-dd"/>
    <numFmt numFmtId="177" formatCode="&quot;Senast uppdaterat: &quot;yyyy\-mm\-dd\ "/>
    <numFmt numFmtId="178" formatCode="&quot;Last updated: &quot;yyyy\-mm\-dd"/>
    <numFmt numFmtId="179" formatCode="0.00_)"/>
    <numFmt numFmtId="180" formatCode="yyyy/mm/dd;@"/>
    <numFmt numFmtId="181" formatCode="[$-41D]&quot;den &quot;d\ mmmm\ yyyy"/>
  </numFmts>
  <fonts count="90">
    <font>
      <sz val="10"/>
      <name val="Arial"/>
      <family val="0"/>
    </font>
    <font>
      <sz val="11"/>
      <color indexed="8"/>
      <name val="Calibri"/>
      <family val="2"/>
    </font>
    <font>
      <b/>
      <sz val="10"/>
      <name val="Arial"/>
      <family val="2"/>
    </font>
    <font>
      <sz val="8"/>
      <name val="Arial"/>
      <family val="2"/>
    </font>
    <font>
      <b/>
      <sz val="10"/>
      <color indexed="10"/>
      <name val="Arial"/>
      <family val="2"/>
    </font>
    <font>
      <vertAlign val="superscript"/>
      <sz val="10"/>
      <name val="Arial"/>
      <family val="2"/>
    </font>
    <font>
      <u val="single"/>
      <sz val="10"/>
      <color indexed="12"/>
      <name val="Arial"/>
      <family val="2"/>
    </font>
    <font>
      <sz val="11"/>
      <color indexed="60"/>
      <name val="Calibri"/>
      <family val="2"/>
    </font>
    <font>
      <b/>
      <sz val="8"/>
      <color indexed="12"/>
      <name val="Verdana"/>
      <family val="2"/>
    </font>
    <font>
      <b/>
      <sz val="14"/>
      <name val="Arial"/>
      <family val="2"/>
    </font>
    <font>
      <b/>
      <sz val="10"/>
      <color indexed="12"/>
      <name val="Arial"/>
      <family val="2"/>
    </font>
    <font>
      <b/>
      <sz val="12"/>
      <name val="Arial"/>
      <family val="2"/>
    </font>
    <font>
      <sz val="10"/>
      <color indexed="12"/>
      <name val="Arial"/>
      <family val="2"/>
    </font>
    <font>
      <u val="single"/>
      <sz val="10"/>
      <name val="Arial"/>
      <family val="2"/>
    </font>
    <font>
      <b/>
      <sz val="10"/>
      <name val="Verdana"/>
      <family val="2"/>
    </font>
    <font>
      <b/>
      <i/>
      <sz val="10"/>
      <name val="Arial"/>
      <family val="2"/>
    </font>
    <font>
      <i/>
      <sz val="10"/>
      <name val="Arial"/>
      <family val="2"/>
    </font>
    <font>
      <sz val="10"/>
      <name val="Geneva"/>
      <family val="0"/>
    </font>
    <font>
      <b/>
      <sz val="10"/>
      <name val="Geneva"/>
      <family val="0"/>
    </font>
    <font>
      <b/>
      <vertAlign val="superscript"/>
      <sz val="10"/>
      <name val="Geneva"/>
      <family val="0"/>
    </font>
    <font>
      <b/>
      <sz val="10"/>
      <color indexed="12"/>
      <name val="Verdana"/>
      <family val="2"/>
    </font>
    <font>
      <i/>
      <sz val="8"/>
      <color indexed="12"/>
      <name val="Arial"/>
      <family val="2"/>
    </font>
    <font>
      <sz val="10"/>
      <color indexed="10"/>
      <name val="Arial"/>
      <family val="2"/>
    </font>
    <font>
      <sz val="8"/>
      <color indexed="23"/>
      <name val="Arial"/>
      <family val="2"/>
    </font>
    <font>
      <b/>
      <i/>
      <sz val="16"/>
      <name val="Helv"/>
      <family val="0"/>
    </font>
    <font>
      <b/>
      <sz val="11"/>
      <name val="Times New Roman"/>
      <family val="1"/>
    </font>
    <font>
      <sz val="9"/>
      <name val="Arial"/>
      <family val="2"/>
    </font>
    <font>
      <b/>
      <sz val="11"/>
      <name val="Arial"/>
      <family val="2"/>
    </font>
    <font>
      <b/>
      <sz val="8"/>
      <name val="Arial"/>
      <family val="2"/>
    </font>
    <font>
      <i/>
      <sz val="8"/>
      <name val="Arial"/>
      <family val="2"/>
    </font>
    <font>
      <b/>
      <vertAlign val="superscript"/>
      <sz val="10"/>
      <name val="Arial"/>
      <family val="2"/>
    </font>
    <font>
      <b/>
      <i/>
      <sz val="10"/>
      <name val="Verdana"/>
      <family val="2"/>
    </font>
    <font>
      <vertAlign val="superscript"/>
      <sz val="8"/>
      <name val="Arial"/>
      <family val="2"/>
    </font>
    <font>
      <i/>
      <sz val="10"/>
      <color indexed="10"/>
      <name val="Arial"/>
      <family val="2"/>
    </font>
    <font>
      <b/>
      <i/>
      <sz val="10"/>
      <color indexed="10"/>
      <name val="Arial"/>
      <family val="2"/>
    </font>
    <font>
      <b/>
      <i/>
      <sz val="10"/>
      <color indexed="12"/>
      <name val="Verdana"/>
      <family val="2"/>
    </font>
    <font>
      <i/>
      <sz val="8"/>
      <color indexed="12"/>
      <name val="Verdana"/>
      <family val="2"/>
    </font>
    <font>
      <i/>
      <sz val="10"/>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0"/>
      <color indexed="23"/>
      <name val="Arial"/>
      <family val="2"/>
    </font>
    <font>
      <sz val="10"/>
      <color indexed="23"/>
      <name val="Arial"/>
      <family val="2"/>
    </font>
    <font>
      <b/>
      <sz val="10"/>
      <color indexed="23"/>
      <name val="Arial"/>
      <family val="2"/>
    </font>
    <font>
      <b/>
      <sz val="8"/>
      <color indexed="23"/>
      <name val="Verdana"/>
      <family val="2"/>
    </font>
    <font>
      <sz val="8"/>
      <color indexed="23"/>
      <name val="Verdana"/>
      <family val="2"/>
    </font>
    <font>
      <b/>
      <sz val="10"/>
      <color indexed="23"/>
      <name val="Verdana"/>
      <family val="2"/>
    </font>
    <font>
      <b/>
      <i/>
      <sz val="10"/>
      <color indexed="23"/>
      <name val="Verdana"/>
      <family val="2"/>
    </font>
    <font>
      <i/>
      <sz val="10"/>
      <color indexed="23"/>
      <name val="Verdana"/>
      <family val="2"/>
    </font>
    <font>
      <sz val="10"/>
      <color indexed="2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i/>
      <sz val="10"/>
      <color theme="0" tint="-0.4999699890613556"/>
      <name val="Arial"/>
      <family val="2"/>
    </font>
    <font>
      <sz val="10"/>
      <color theme="0" tint="-0.4999699890613556"/>
      <name val="Arial"/>
      <family val="2"/>
    </font>
    <font>
      <b/>
      <sz val="10"/>
      <color theme="0" tint="-0.4999699890613556"/>
      <name val="Arial"/>
      <family val="2"/>
    </font>
    <font>
      <b/>
      <sz val="8"/>
      <color theme="0" tint="-0.4999699890613556"/>
      <name val="Verdana"/>
      <family val="2"/>
    </font>
    <font>
      <sz val="8"/>
      <color theme="0" tint="-0.4999699890613556"/>
      <name val="Verdana"/>
      <family val="2"/>
    </font>
    <font>
      <b/>
      <sz val="10"/>
      <color theme="0" tint="-0.4999699890613556"/>
      <name val="Verdana"/>
      <family val="2"/>
    </font>
    <font>
      <b/>
      <i/>
      <sz val="10"/>
      <color theme="0" tint="-0.4999699890613556"/>
      <name val="Verdana"/>
      <family val="2"/>
    </font>
    <font>
      <i/>
      <sz val="10"/>
      <color theme="0" tint="-0.4999699890613556"/>
      <name val="Verdana"/>
      <family val="2"/>
    </font>
    <font>
      <sz val="10"/>
      <color theme="0" tint="-0.4999699890613556"/>
      <name val="Verdana"/>
      <family val="2"/>
    </font>
    <font>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color indexed="63"/>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38" fontId="3" fillId="30"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1" borderId="1" applyNumberFormat="0" applyAlignment="0" applyProtection="0"/>
    <xf numFmtId="10" fontId="3" fillId="32" borderId="6" applyNumberFormat="0" applyBorder="0" applyAlignment="0" applyProtection="0"/>
    <xf numFmtId="0" fontId="73" fillId="0" borderId="7" applyNumberFormat="0" applyFill="0" applyAlignment="0" applyProtection="0"/>
    <xf numFmtId="0" fontId="7" fillId="33" borderId="0" applyNumberFormat="0" applyBorder="0" applyAlignment="0" applyProtection="0"/>
    <xf numFmtId="179"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4" borderId="8" applyNumberFormat="0" applyFont="0" applyAlignment="0" applyProtection="0"/>
    <xf numFmtId="0" fontId="74"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0" fontId="25" fillId="0" borderId="0">
      <alignment/>
      <protection/>
    </xf>
    <xf numFmtId="0" fontId="75" fillId="0" borderId="0" applyNumberFormat="0" applyFill="0" applyBorder="0" applyAlignment="0" applyProtection="0"/>
    <xf numFmtId="0" fontId="76" fillId="0" borderId="10" applyNumberFormat="0" applyFill="0" applyAlignment="0" applyProtection="0"/>
    <xf numFmtId="0" fontId="77" fillId="0" borderId="0" applyNumberFormat="0" applyFill="0" applyBorder="0" applyAlignment="0" applyProtection="0"/>
  </cellStyleXfs>
  <cellXfs count="300">
    <xf numFmtId="0" fontId="0" fillId="0" borderId="0" xfId="0" applyAlignment="1">
      <alignment/>
    </xf>
    <xf numFmtId="3" fontId="2"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0" fontId="0" fillId="0" borderId="0" xfId="0" applyFont="1" applyFill="1" applyBorder="1" applyAlignment="1">
      <alignment horizontal="right"/>
    </xf>
    <xf numFmtId="4"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0" fontId="0" fillId="0" borderId="0" xfId="0" applyFont="1" applyFill="1" applyAlignment="1">
      <alignment/>
    </xf>
    <xf numFmtId="3" fontId="0" fillId="0" borderId="0" xfId="0" applyNumberFormat="1" applyFont="1" applyFill="1" applyAlignment="1">
      <alignment/>
    </xf>
    <xf numFmtId="174" fontId="0" fillId="0" borderId="0" xfId="88" applyNumberFormat="1" applyFont="1" applyFill="1" applyAlignment="1">
      <alignment/>
    </xf>
    <xf numFmtId="3" fontId="0" fillId="0" borderId="0" xfId="0" applyNumberFormat="1" applyFont="1" applyFill="1" applyAlignment="1" quotePrefix="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172" fontId="0" fillId="0" borderId="11"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4" fontId="0" fillId="0" borderId="0" xfId="0" applyNumberFormat="1" applyFont="1" applyFill="1" applyAlignment="1">
      <alignment/>
    </xf>
    <xf numFmtId="4" fontId="0" fillId="0" borderId="11" xfId="0" applyNumberFormat="1" applyFont="1" applyFill="1" applyBorder="1" applyAlignment="1">
      <alignment/>
    </xf>
    <xf numFmtId="3" fontId="10" fillId="0" borderId="0" xfId="0" applyNumberFormat="1" applyFont="1" applyFill="1" applyAlignment="1">
      <alignment/>
    </xf>
    <xf numFmtId="0" fontId="0" fillId="0" borderId="0" xfId="0" applyFont="1" applyFill="1" applyBorder="1" applyAlignment="1">
      <alignment/>
    </xf>
    <xf numFmtId="0" fontId="10" fillId="0" borderId="0" xfId="0" applyFont="1" applyFill="1" applyAlignment="1">
      <alignment/>
    </xf>
    <xf numFmtId="0" fontId="0" fillId="0" borderId="11" xfId="0" applyFont="1" applyFill="1" applyBorder="1" applyAlignment="1">
      <alignment/>
    </xf>
    <xf numFmtId="0" fontId="15" fillId="0" borderId="0" xfId="0" applyFont="1" applyFill="1" applyAlignment="1">
      <alignment/>
    </xf>
    <xf numFmtId="0" fontId="16" fillId="0" borderId="0" xfId="0" applyFont="1" applyFill="1" applyAlignment="1">
      <alignment/>
    </xf>
    <xf numFmtId="0" fontId="2" fillId="0" borderId="0" xfId="0" applyFont="1" applyFill="1" applyAlignment="1">
      <alignment/>
    </xf>
    <xf numFmtId="49" fontId="18" fillId="0" borderId="0" xfId="0" applyNumberFormat="1" applyFont="1" applyFill="1" applyAlignment="1">
      <alignment/>
    </xf>
    <xf numFmtId="49" fontId="17" fillId="0" borderId="0" xfId="0" applyNumberFormat="1" applyFont="1" applyFill="1" applyAlignment="1">
      <alignment/>
    </xf>
    <xf numFmtId="3" fontId="0" fillId="0" borderId="0" xfId="0" applyNumberFormat="1" applyFont="1" applyFill="1" applyBorder="1" applyAlignment="1">
      <alignment/>
    </xf>
    <xf numFmtId="49" fontId="17" fillId="0" borderId="11" xfId="0" applyNumberFormat="1" applyFont="1" applyFill="1" applyBorder="1" applyAlignment="1">
      <alignment/>
    </xf>
    <xf numFmtId="49" fontId="18" fillId="0" borderId="0" xfId="0" applyNumberFormat="1" applyFont="1" applyFill="1" applyBorder="1" applyAlignment="1">
      <alignment/>
    </xf>
    <xf numFmtId="0" fontId="0" fillId="0" borderId="0" xfId="0" applyFont="1" applyFill="1" applyAlignment="1">
      <alignment/>
    </xf>
    <xf numFmtId="0" fontId="0" fillId="0" borderId="11" xfId="0" applyFont="1" applyFill="1" applyBorder="1" applyAlignment="1">
      <alignment/>
    </xf>
    <xf numFmtId="49" fontId="0" fillId="0" borderId="0" xfId="0" applyNumberFormat="1" applyFont="1" applyFill="1" applyAlignment="1">
      <alignment/>
    </xf>
    <xf numFmtId="3" fontId="0" fillId="0" borderId="0" xfId="0" applyNumberFormat="1" applyFont="1" applyFill="1" applyAlignment="1">
      <alignment/>
    </xf>
    <xf numFmtId="173" fontId="0" fillId="0" borderId="0" xfId="0" applyNumberFormat="1" applyFont="1" applyFill="1" applyAlignment="1">
      <alignment/>
    </xf>
    <xf numFmtId="174" fontId="0" fillId="0" borderId="0" xfId="88" applyNumberFormat="1" applyFont="1" applyFill="1" applyAlignment="1">
      <alignment/>
    </xf>
    <xf numFmtId="49" fontId="0" fillId="0" borderId="11" xfId="0" applyNumberFormat="1" applyFont="1" applyFill="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49" fontId="0" fillId="0" borderId="0" xfId="0" applyNumberFormat="1" applyFont="1" applyFill="1" applyBorder="1" applyAlignment="1">
      <alignment/>
    </xf>
    <xf numFmtId="172" fontId="0" fillId="0" borderId="11"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0" fontId="0" fillId="0" borderId="0" xfId="0" applyFont="1" applyFill="1" applyBorder="1" applyAlignment="1">
      <alignment/>
    </xf>
    <xf numFmtId="4" fontId="0" fillId="0" borderId="0" xfId="0" applyNumberFormat="1" applyFont="1" applyFill="1" applyAlignment="1">
      <alignment/>
    </xf>
    <xf numFmtId="4" fontId="0" fillId="0" borderId="11"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0" fontId="14" fillId="0" borderId="0" xfId="0" applyFont="1" applyFill="1" applyBorder="1" applyAlignment="1">
      <alignment wrapText="1"/>
    </xf>
    <xf numFmtId="0" fontId="2" fillId="0" borderId="0" xfId="0" applyFont="1" applyFill="1" applyBorder="1" applyAlignment="1">
      <alignment horizontal="left"/>
    </xf>
    <xf numFmtId="0" fontId="0" fillId="0" borderId="0" xfId="0" applyFont="1" applyFill="1" applyBorder="1" applyAlignment="1">
      <alignment/>
    </xf>
    <xf numFmtId="0" fontId="13" fillId="0" borderId="0" xfId="54" applyFont="1" applyFill="1" applyBorder="1" applyAlignment="1" applyProtection="1">
      <alignment/>
      <protection/>
    </xf>
    <xf numFmtId="0" fontId="2" fillId="0" borderId="0" xfId="0" applyFont="1" applyFill="1" applyBorder="1" applyAlignment="1">
      <alignment/>
    </xf>
    <xf numFmtId="3" fontId="2" fillId="0" borderId="0" xfId="0" applyNumberFormat="1"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right"/>
    </xf>
    <xf numFmtId="1" fontId="0" fillId="0" borderId="0" xfId="0" applyNumberFormat="1" applyFon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2" fillId="0" borderId="0" xfId="0" applyFont="1" applyFill="1" applyBorder="1" applyAlignment="1">
      <alignment/>
    </xf>
    <xf numFmtId="0" fontId="20" fillId="0" borderId="0" xfId="0" applyFont="1" applyFill="1" applyBorder="1" applyAlignment="1">
      <alignment wrapText="1"/>
    </xf>
    <xf numFmtId="0" fontId="21" fillId="0" borderId="0" xfId="0" applyFont="1" applyFill="1" applyBorder="1" applyAlignment="1">
      <alignment/>
    </xf>
    <xf numFmtId="176" fontId="10" fillId="0" borderId="0" xfId="0" applyNumberFormat="1" applyFont="1" applyFill="1" applyBorder="1" applyAlignment="1">
      <alignment/>
    </xf>
    <xf numFmtId="0" fontId="2" fillId="0" borderId="0" xfId="0" applyFont="1" applyFill="1" applyBorder="1" applyAlignment="1">
      <alignment wrapText="1"/>
    </xf>
    <xf numFmtId="0" fontId="0" fillId="0" borderId="0" xfId="0" applyFont="1" applyFill="1" applyAlignment="1">
      <alignment horizontal="left"/>
    </xf>
    <xf numFmtId="0" fontId="2" fillId="0" borderId="0" xfId="0" applyFont="1" applyFill="1" applyBorder="1" applyAlignment="1">
      <alignment/>
    </xf>
    <xf numFmtId="3" fontId="4"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0" fontId="16" fillId="0" borderId="0" xfId="0" applyFont="1" applyFill="1" applyBorder="1" applyAlignment="1">
      <alignment/>
    </xf>
    <xf numFmtId="0" fontId="16" fillId="0" borderId="0" xfId="0" applyFont="1" applyFill="1" applyBorder="1" applyAlignment="1">
      <alignment horizontal="right"/>
    </xf>
    <xf numFmtId="175" fontId="0" fillId="0" borderId="0" xfId="0" applyNumberFormat="1" applyFont="1" applyFill="1" applyBorder="1" applyAlignment="1">
      <alignment/>
    </xf>
    <xf numFmtId="175" fontId="2"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left" wrapText="1"/>
    </xf>
    <xf numFmtId="0" fontId="2" fillId="0" borderId="11" xfId="0" applyFont="1" applyFill="1" applyBorder="1" applyAlignment="1">
      <alignment horizontal="right"/>
    </xf>
    <xf numFmtId="0" fontId="3" fillId="0" borderId="0" xfId="0" applyFont="1" applyFill="1" applyAlignment="1">
      <alignment horizontal="right"/>
    </xf>
    <xf numFmtId="0" fontId="0" fillId="0" borderId="0" xfId="0" applyFill="1" applyAlignment="1">
      <alignment/>
    </xf>
    <xf numFmtId="0" fontId="2"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49"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indent="2"/>
    </xf>
    <xf numFmtId="176" fontId="0" fillId="0" borderId="0" xfId="0" applyNumberFormat="1" applyFill="1" applyAlignment="1">
      <alignment/>
    </xf>
    <xf numFmtId="0" fontId="8" fillId="0" borderId="0" xfId="0" applyFont="1" applyFill="1" applyBorder="1" applyAlignment="1">
      <alignment wrapText="1"/>
    </xf>
    <xf numFmtId="0" fontId="8" fillId="0" borderId="0" xfId="0" applyFont="1" applyFill="1" applyBorder="1" applyAlignment="1">
      <alignment/>
    </xf>
    <xf numFmtId="0" fontId="9" fillId="0" borderId="0" xfId="0" applyFont="1" applyFill="1" applyAlignment="1">
      <alignment horizontal="left"/>
    </xf>
    <xf numFmtId="177" fontId="23" fillId="0" borderId="0" xfId="0" applyNumberFormat="1" applyFont="1" applyFill="1" applyAlignment="1">
      <alignment horizontal="left"/>
    </xf>
    <xf numFmtId="178" fontId="23" fillId="0" borderId="0" xfId="0" applyNumberFormat="1" applyFont="1" applyFill="1" applyAlignment="1">
      <alignment horizontal="left" wrapText="1"/>
    </xf>
    <xf numFmtId="0" fontId="10" fillId="0" borderId="0" xfId="0" applyFont="1" applyFill="1" applyAlignment="1">
      <alignment horizontal="left"/>
    </xf>
    <xf numFmtId="0" fontId="8" fillId="0" borderId="11" xfId="0" applyFont="1" applyFill="1" applyBorder="1" applyAlignment="1">
      <alignment/>
    </xf>
    <xf numFmtId="0" fontId="0" fillId="0" borderId="0" xfId="0" applyFont="1" applyFill="1" applyBorder="1" applyAlignment="1">
      <alignment wrapText="1"/>
    </xf>
    <xf numFmtId="0" fontId="2" fillId="0" borderId="0" xfId="0" applyFont="1" applyFill="1" applyBorder="1" applyAlignment="1">
      <alignment horizontal="right"/>
    </xf>
    <xf numFmtId="3" fontId="0" fillId="0" borderId="0" xfId="0" applyNumberFormat="1" applyFont="1" applyFill="1" applyAlignment="1">
      <alignment/>
    </xf>
    <xf numFmtId="4" fontId="0" fillId="0" borderId="0" xfId="0" applyNumberFormat="1" applyFont="1" applyFill="1" applyAlignment="1">
      <alignment/>
    </xf>
    <xf numFmtId="0" fontId="13" fillId="0" borderId="0" xfId="54" applyFont="1" applyFill="1" applyBorder="1" applyAlignment="1" applyProtection="1">
      <alignment/>
      <protection/>
    </xf>
    <xf numFmtId="0" fontId="0" fillId="0" borderId="0" xfId="0" applyFont="1" applyFill="1" applyBorder="1" applyAlignment="1">
      <alignment horizontal="left" indent="2"/>
    </xf>
    <xf numFmtId="0" fontId="2" fillId="0" borderId="0" xfId="0" applyFont="1" applyFill="1" applyBorder="1" applyAlignment="1">
      <alignment horizontal="left" wrapText="1" indent="2"/>
    </xf>
    <xf numFmtId="0" fontId="2" fillId="0" borderId="0" xfId="0" applyFont="1" applyFill="1" applyBorder="1" applyAlignment="1">
      <alignment horizontal="left" indent="2"/>
    </xf>
    <xf numFmtId="0" fontId="2" fillId="0" borderId="0" xfId="0" applyFont="1" applyFill="1" applyBorder="1" applyAlignment="1">
      <alignment wrapText="1"/>
    </xf>
    <xf numFmtId="0" fontId="8" fillId="0" borderId="11" xfId="0" applyFont="1" applyFill="1" applyBorder="1" applyAlignment="1">
      <alignment wrapText="1"/>
    </xf>
    <xf numFmtId="0" fontId="0" fillId="0" borderId="0" xfId="0" applyFill="1" applyAlignment="1">
      <alignment horizontal="left"/>
    </xf>
    <xf numFmtId="177" fontId="23" fillId="0" borderId="0" xfId="0" applyNumberFormat="1" applyFont="1" applyFill="1" applyBorder="1" applyAlignment="1">
      <alignment horizontal="left"/>
    </xf>
    <xf numFmtId="0" fontId="0" fillId="0" borderId="0" xfId="0" applyFont="1" applyFill="1" applyBorder="1" applyAlignment="1">
      <alignment wrapText="1"/>
    </xf>
    <xf numFmtId="3" fontId="0" fillId="0" borderId="0" xfId="0" applyNumberFormat="1" applyFont="1" applyFill="1" applyAlignment="1">
      <alignment horizontal="right"/>
    </xf>
    <xf numFmtId="4" fontId="0" fillId="0" borderId="0" xfId="0" applyNumberFormat="1" applyFont="1" applyFill="1" applyBorder="1" applyAlignment="1">
      <alignment/>
    </xf>
    <xf numFmtId="49" fontId="2" fillId="0" borderId="0" xfId="0" applyNumberFormat="1" applyFont="1" applyFill="1" applyBorder="1" applyAlignment="1">
      <alignment/>
    </xf>
    <xf numFmtId="3" fontId="0" fillId="0" borderId="0" xfId="0" applyNumberFormat="1" applyFill="1" applyAlignment="1">
      <alignment/>
    </xf>
    <xf numFmtId="0" fontId="4" fillId="0" borderId="0" xfId="0" applyFont="1" applyFill="1" applyAlignment="1">
      <alignment horizontal="left"/>
    </xf>
    <xf numFmtId="49" fontId="0" fillId="0" borderId="0" xfId="0" applyNumberFormat="1" applyFont="1" applyFill="1" applyBorder="1" applyAlignment="1">
      <alignment wrapText="1"/>
    </xf>
    <xf numFmtId="49" fontId="2" fillId="0" borderId="0" xfId="0" applyNumberFormat="1" applyFont="1" applyFill="1" applyBorder="1" applyAlignment="1">
      <alignment wrapText="1"/>
    </xf>
    <xf numFmtId="0" fontId="0" fillId="0" borderId="0" xfId="0" applyFill="1" applyAlignment="1">
      <alignment horizontal="left" wrapText="1"/>
    </xf>
    <xf numFmtId="0" fontId="11" fillId="0" borderId="0" xfId="0" applyFont="1" applyFill="1" applyAlignment="1">
      <alignment horizontal="left"/>
    </xf>
    <xf numFmtId="0" fontId="2" fillId="0" borderId="11" xfId="0" applyFont="1" applyFill="1" applyBorder="1" applyAlignment="1">
      <alignment/>
    </xf>
    <xf numFmtId="0" fontId="16" fillId="0" borderId="0" xfId="0" applyFont="1" applyFill="1" applyAlignment="1">
      <alignment horizontal="left"/>
    </xf>
    <xf numFmtId="0" fontId="15" fillId="0" borderId="0" xfId="0" applyFont="1" applyFill="1" applyBorder="1" applyAlignment="1">
      <alignment horizontal="left"/>
    </xf>
    <xf numFmtId="0" fontId="2" fillId="0" borderId="0" xfId="0" applyFont="1" applyFill="1" applyAlignment="1">
      <alignment horizontal="left"/>
    </xf>
    <xf numFmtId="3" fontId="2" fillId="0" borderId="0" xfId="0" applyNumberFormat="1" applyFont="1" applyFill="1" applyAlignment="1">
      <alignment/>
    </xf>
    <xf numFmtId="0" fontId="15" fillId="0" borderId="0" xfId="0" applyFont="1" applyFill="1" applyAlignment="1">
      <alignment horizontal="left"/>
    </xf>
    <xf numFmtId="0" fontId="0" fillId="0" borderId="0" xfId="0" applyFill="1" applyAlignment="1">
      <alignment horizontal="right"/>
    </xf>
    <xf numFmtId="3" fontId="2" fillId="0" borderId="0" xfId="0" applyNumberFormat="1" applyFont="1" applyFill="1" applyAlignment="1">
      <alignment horizontal="right"/>
    </xf>
    <xf numFmtId="0" fontId="2" fillId="0" borderId="0" xfId="0" applyFont="1" applyFill="1" applyAlignment="1">
      <alignment horizontal="left" wrapText="1"/>
    </xf>
    <xf numFmtId="3" fontId="0" fillId="0" borderId="0" xfId="0" applyNumberFormat="1" applyFont="1" applyFill="1" applyAlignment="1">
      <alignment horizontal="right"/>
    </xf>
    <xf numFmtId="0" fontId="2" fillId="0" borderId="11" xfId="0" applyFont="1" applyFill="1" applyBorder="1" applyAlignment="1">
      <alignment horizontal="left"/>
    </xf>
    <xf numFmtId="0" fontId="2" fillId="0" borderId="11" xfId="0" applyFont="1" applyFill="1" applyBorder="1" applyAlignment="1">
      <alignment horizontal="left" wrapText="1"/>
    </xf>
    <xf numFmtId="0" fontId="12" fillId="0" borderId="11" xfId="0" applyFont="1" applyFill="1" applyBorder="1" applyAlignment="1">
      <alignment/>
    </xf>
    <xf numFmtId="49" fontId="0" fillId="0" borderId="0" xfId="0" applyNumberFormat="1" applyFont="1" applyFill="1" applyBorder="1" applyAlignment="1">
      <alignment wrapText="1"/>
    </xf>
    <xf numFmtId="3" fontId="2" fillId="0" borderId="0" xfId="0" applyNumberFormat="1" applyFont="1" applyFill="1" applyBorder="1" applyAlignment="1">
      <alignment/>
    </xf>
    <xf numFmtId="0" fontId="0" fillId="0" borderId="0" xfId="0" applyFont="1" applyFill="1" applyAlignment="1">
      <alignment horizontal="right"/>
    </xf>
    <xf numFmtId="2" fontId="0" fillId="0" borderId="0" xfId="0" applyNumberFormat="1" applyFont="1" applyFill="1" applyBorder="1" applyAlignment="1">
      <alignment/>
    </xf>
    <xf numFmtId="3" fontId="2" fillId="0" borderId="0" xfId="0" applyNumberFormat="1" applyFont="1" applyFill="1" applyAlignment="1">
      <alignment horizontal="right"/>
    </xf>
    <xf numFmtId="3" fontId="0" fillId="0" borderId="0" xfId="0" applyNumberFormat="1" applyFont="1" applyFill="1" applyAlignment="1">
      <alignment horizontal="right"/>
    </xf>
    <xf numFmtId="3" fontId="2" fillId="0" borderId="0" xfId="0" applyNumberFormat="1" applyFont="1" applyFill="1" applyAlignment="1">
      <alignment/>
    </xf>
    <xf numFmtId="2" fontId="2" fillId="0" borderId="0" xfId="0" applyNumberFormat="1" applyFont="1" applyFill="1" applyBorder="1" applyAlignment="1">
      <alignment/>
    </xf>
    <xf numFmtId="0" fontId="9" fillId="0" borderId="0" xfId="0" applyFont="1" applyFill="1" applyAlignment="1">
      <alignment/>
    </xf>
    <xf numFmtId="0" fontId="0" fillId="0" borderId="0" xfId="0" applyFill="1" applyAlignment="1">
      <alignment/>
    </xf>
    <xf numFmtId="0" fontId="16" fillId="0" borderId="0" xfId="0" applyFont="1" applyFill="1" applyAlignment="1">
      <alignment/>
    </xf>
    <xf numFmtId="0" fontId="9" fillId="0" borderId="0" xfId="0" applyFont="1" applyFill="1" applyBorder="1" applyAlignment="1">
      <alignment horizontal="left"/>
    </xf>
    <xf numFmtId="178" fontId="23" fillId="0" borderId="0" xfId="0" applyNumberFormat="1" applyFont="1" applyFill="1" applyBorder="1" applyAlignment="1">
      <alignment horizontal="left" wrapText="1"/>
    </xf>
    <xf numFmtId="0" fontId="10" fillId="0" borderId="0" xfId="0" applyFont="1" applyFill="1" applyBorder="1" applyAlignment="1">
      <alignment horizontal="left"/>
    </xf>
    <xf numFmtId="0" fontId="0" fillId="0" borderId="11"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right"/>
    </xf>
    <xf numFmtId="0" fontId="14" fillId="0" borderId="11" xfId="0" applyFont="1" applyFill="1" applyBorder="1" applyAlignment="1">
      <alignment wrapText="1"/>
    </xf>
    <xf numFmtId="0" fontId="0" fillId="0" borderId="11" xfId="0" applyFont="1" applyFill="1" applyBorder="1" applyAlignment="1">
      <alignment/>
    </xf>
    <xf numFmtId="0" fontId="0" fillId="0" borderId="0" xfId="0" applyFont="1" applyFill="1" applyAlignment="1">
      <alignment/>
    </xf>
    <xf numFmtId="49" fontId="2" fillId="0" borderId="0" xfId="0" applyNumberFormat="1" applyFont="1" applyFill="1" applyBorder="1" applyAlignment="1">
      <alignment/>
    </xf>
    <xf numFmtId="0" fontId="0" fillId="0" borderId="0" xfId="0" applyFont="1" applyAlignment="1">
      <alignment wrapText="1"/>
    </xf>
    <xf numFmtId="49" fontId="18" fillId="0" borderId="11" xfId="0" applyNumberFormat="1" applyFont="1" applyFill="1" applyBorder="1" applyAlignment="1">
      <alignment/>
    </xf>
    <xf numFmtId="0" fontId="2" fillId="0" borderId="12" xfId="0" applyFont="1" applyFill="1" applyBorder="1" applyAlignment="1">
      <alignment/>
    </xf>
    <xf numFmtId="0" fontId="0" fillId="0" borderId="0" xfId="0" applyFont="1" applyFill="1" applyAlignment="1">
      <alignment horizontal="left"/>
    </xf>
    <xf numFmtId="4" fontId="0" fillId="0" borderId="0" xfId="0" applyNumberFormat="1" applyFont="1" applyFill="1" applyAlignment="1">
      <alignment horizontal="right"/>
    </xf>
    <xf numFmtId="172" fontId="2" fillId="0" borderId="0" xfId="0" applyNumberFormat="1" applyFont="1" applyFill="1" applyBorder="1" applyAlignment="1">
      <alignment horizontal="right"/>
    </xf>
    <xf numFmtId="49" fontId="0" fillId="0" borderId="0" xfId="0" applyNumberFormat="1" applyFont="1" applyFill="1" applyBorder="1" applyAlignment="1">
      <alignment/>
    </xf>
    <xf numFmtId="0" fontId="0" fillId="0" borderId="0" xfId="0" applyFont="1" applyFill="1" applyBorder="1" applyAlignment="1">
      <alignment horizontal="left" wrapText="1" indent="2"/>
    </xf>
    <xf numFmtId="0" fontId="0" fillId="0" borderId="0" xfId="0" applyFont="1" applyFill="1" applyAlignment="1">
      <alignment horizontal="center"/>
    </xf>
    <xf numFmtId="174" fontId="2" fillId="0" borderId="0" xfId="88" applyNumberFormat="1" applyFont="1" applyFill="1" applyBorder="1" applyAlignment="1">
      <alignment horizontal="right"/>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0" fontId="26" fillId="0" borderId="0" xfId="0" applyFont="1" applyFill="1" applyAlignment="1">
      <alignment/>
    </xf>
    <xf numFmtId="0" fontId="3" fillId="0" borderId="0" xfId="0" applyFont="1" applyFill="1" applyAlignment="1">
      <alignment/>
    </xf>
    <xf numFmtId="3" fontId="0" fillId="0" borderId="0" xfId="71" applyNumberFormat="1" applyFont="1" applyFill="1" applyBorder="1" applyAlignment="1">
      <alignment horizontal="right"/>
      <protection/>
    </xf>
    <xf numFmtId="172" fontId="0" fillId="0" borderId="0" xfId="71" applyNumberFormat="1" applyFont="1" applyFill="1" applyBorder="1" applyAlignment="1">
      <alignment horizontal="right"/>
      <protection/>
    </xf>
    <xf numFmtId="11" fontId="0" fillId="0" borderId="0" xfId="0" applyNumberFormat="1" applyFont="1" applyFill="1" applyBorder="1" applyAlignment="1">
      <alignment/>
    </xf>
    <xf numFmtId="0" fontId="78" fillId="0" borderId="0" xfId="0" applyFont="1" applyFill="1" applyAlignment="1">
      <alignment/>
    </xf>
    <xf numFmtId="0" fontId="79" fillId="0" borderId="0" xfId="0" applyFont="1" applyFill="1" applyBorder="1" applyAlignment="1">
      <alignment/>
    </xf>
    <xf numFmtId="172" fontId="78" fillId="0" borderId="0" xfId="0" applyNumberFormat="1" applyFont="1" applyFill="1" applyBorder="1" applyAlignment="1">
      <alignment horizontal="right"/>
    </xf>
    <xf numFmtId="3" fontId="79" fillId="0" borderId="0" xfId="0" applyNumberFormat="1" applyFont="1" applyFill="1" applyBorder="1" applyAlignment="1">
      <alignment horizontal="right"/>
    </xf>
    <xf numFmtId="0" fontId="79" fillId="0" borderId="0" xfId="0" applyFont="1" applyFill="1" applyAlignment="1">
      <alignment/>
    </xf>
    <xf numFmtId="0" fontId="78" fillId="0" borderId="11" xfId="0" applyFont="1" applyFill="1" applyBorder="1" applyAlignment="1">
      <alignment/>
    </xf>
    <xf numFmtId="0" fontId="79" fillId="0" borderId="0" xfId="0" applyFont="1" applyFill="1" applyAlignment="1">
      <alignment wrapText="1"/>
    </xf>
    <xf numFmtId="178" fontId="0" fillId="0" borderId="0" xfId="0" applyNumberFormat="1" applyFont="1" applyFill="1" applyBorder="1" applyAlignment="1">
      <alignment horizontal="left" wrapText="1" indent="2"/>
    </xf>
    <xf numFmtId="0" fontId="0" fillId="0" borderId="0" xfId="0" applyAlignment="1">
      <alignment wrapText="1"/>
    </xf>
    <xf numFmtId="3" fontId="0" fillId="0" borderId="6" xfId="71" applyNumberFormat="1" applyFont="1" applyBorder="1" applyAlignment="1">
      <alignment wrapText="1"/>
      <protection/>
    </xf>
    <xf numFmtId="0" fontId="0" fillId="0" borderId="0" xfId="0" applyFont="1" applyFill="1" applyBorder="1" applyAlignment="1">
      <alignment horizontal="left" indent="2"/>
    </xf>
    <xf numFmtId="0" fontId="2" fillId="0" borderId="0" xfId="0" applyFont="1" applyAlignment="1">
      <alignment wrapText="1"/>
    </xf>
    <xf numFmtId="3" fontId="2" fillId="0" borderId="6" xfId="71" applyNumberFormat="1" applyFont="1" applyBorder="1" applyAlignment="1">
      <alignment horizontal="right" wrapText="1"/>
      <protection/>
    </xf>
    <xf numFmtId="3" fontId="2" fillId="0" borderId="6" xfId="71" applyNumberFormat="1" applyFont="1" applyBorder="1" applyAlignment="1">
      <alignment wrapText="1"/>
      <protection/>
    </xf>
    <xf numFmtId="3" fontId="2" fillId="0" borderId="6" xfId="71" applyNumberFormat="1" applyFont="1" applyFill="1" applyBorder="1" applyAlignment="1">
      <alignment wrapText="1"/>
      <protection/>
    </xf>
    <xf numFmtId="0" fontId="0" fillId="0" borderId="0" xfId="0" applyFont="1" applyFill="1" applyBorder="1" applyAlignment="1">
      <alignment/>
    </xf>
    <xf numFmtId="0" fontId="0" fillId="0" borderId="0" xfId="0" applyFont="1" applyFill="1" applyBorder="1" applyAlignment="1">
      <alignment horizontal="left" indent="3"/>
    </xf>
    <xf numFmtId="0" fontId="3" fillId="0" borderId="0" xfId="0" applyFont="1" applyFill="1" applyBorder="1" applyAlignment="1">
      <alignment/>
    </xf>
    <xf numFmtId="0" fontId="0" fillId="0" borderId="0" xfId="0" applyFont="1" applyFill="1" applyBorder="1" applyAlignment="1">
      <alignment vertical="top" wrapText="1"/>
    </xf>
    <xf numFmtId="0" fontId="27" fillId="0" borderId="0" xfId="0" applyFont="1" applyFill="1" applyBorder="1" applyAlignment="1">
      <alignment horizontal="left" wrapText="1" indent="3"/>
    </xf>
    <xf numFmtId="0" fontId="3" fillId="0" borderId="0" xfId="0" applyFont="1" applyFill="1" applyBorder="1" applyAlignment="1">
      <alignment vertical="top" wrapText="1"/>
    </xf>
    <xf numFmtId="0" fontId="11" fillId="0" borderId="0" xfId="0" applyFont="1" applyFill="1" applyBorder="1" applyAlignment="1">
      <alignment wrapText="1"/>
    </xf>
    <xf numFmtId="176" fontId="28" fillId="0" borderId="0" xfId="0" applyNumberFormat="1" applyFont="1" applyFill="1" applyBorder="1" applyAlignment="1">
      <alignment horizontal="right" wrapText="1"/>
    </xf>
    <xf numFmtId="0" fontId="28" fillId="0" borderId="0" xfId="0" applyFont="1" applyFill="1" applyBorder="1" applyAlignment="1">
      <alignment horizontal="left" wrapText="1" indent="3"/>
    </xf>
    <xf numFmtId="3" fontId="29" fillId="0" borderId="0" xfId="0" applyNumberFormat="1" applyFont="1" applyFill="1" applyBorder="1" applyAlignment="1">
      <alignment wrapText="1"/>
    </xf>
    <xf numFmtId="0" fontId="28" fillId="0" borderId="0" xfId="0" applyFont="1" applyFill="1" applyBorder="1" applyAlignment="1">
      <alignment wrapText="1"/>
    </xf>
    <xf numFmtId="3" fontId="3" fillId="0" borderId="0" xfId="0" applyNumberFormat="1" applyFont="1" applyFill="1" applyBorder="1" applyAlignment="1">
      <alignment wrapText="1"/>
    </xf>
    <xf numFmtId="4" fontId="3" fillId="0" borderId="0" xfId="0" applyNumberFormat="1" applyFont="1" applyFill="1" applyBorder="1" applyAlignment="1">
      <alignment horizontal="right"/>
    </xf>
    <xf numFmtId="2" fontId="3" fillId="0" borderId="0" xfId="0" applyNumberFormat="1" applyFont="1" applyFill="1" applyBorder="1" applyAlignment="1">
      <alignment/>
    </xf>
    <xf numFmtId="3" fontId="3" fillId="0" borderId="0" xfId="0" applyNumberFormat="1" applyFont="1" applyFill="1" applyBorder="1" applyAlignment="1">
      <alignment horizontal="right"/>
    </xf>
    <xf numFmtId="1" fontId="3" fillId="0" borderId="0" xfId="0" applyNumberFormat="1" applyFont="1" applyFill="1" applyBorder="1" applyAlignment="1">
      <alignment/>
    </xf>
    <xf numFmtId="2"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0" fontId="3" fillId="0" borderId="0" xfId="0" applyFont="1" applyFill="1" applyBorder="1" applyAlignment="1">
      <alignment horizontal="right" wrapText="1"/>
    </xf>
    <xf numFmtId="0" fontId="3" fillId="0" borderId="0" xfId="0" applyFont="1" applyFill="1" applyBorder="1" applyAlignment="1">
      <alignment horizontal="left" indent="3"/>
    </xf>
    <xf numFmtId="0" fontId="0" fillId="0" borderId="0" xfId="0" applyFont="1" applyFill="1" applyAlignment="1">
      <alignment wrapText="1"/>
    </xf>
    <xf numFmtId="49" fontId="2" fillId="0" borderId="0" xfId="0" applyNumberFormat="1" applyFont="1" applyFill="1" applyBorder="1" applyAlignment="1">
      <alignment wrapText="1"/>
    </xf>
    <xf numFmtId="3" fontId="0" fillId="0" borderId="6" xfId="71" applyNumberFormat="1" applyFont="1" applyFill="1" applyBorder="1" applyAlignment="1" applyProtection="1">
      <alignment horizontal="right" wrapText="1"/>
      <protection locked="0"/>
    </xf>
    <xf numFmtId="3" fontId="0" fillId="0" borderId="6" xfId="71" applyNumberFormat="1" applyFont="1" applyFill="1" applyBorder="1" applyAlignment="1" applyProtection="1">
      <alignment wrapText="1"/>
      <protection locked="0"/>
    </xf>
    <xf numFmtId="0" fontId="0" fillId="0" borderId="0" xfId="0" applyFont="1" applyFill="1" applyBorder="1" applyAlignment="1" quotePrefix="1">
      <alignment vertical="top" wrapText="1"/>
    </xf>
    <xf numFmtId="3" fontId="0" fillId="0" borderId="0" xfId="0" applyNumberFormat="1" applyFont="1" applyFill="1" applyAlignment="1" quotePrefix="1">
      <alignment/>
    </xf>
    <xf numFmtId="0" fontId="8" fillId="0" borderId="0" xfId="0" applyFont="1" applyFill="1" applyBorder="1" applyAlignment="1">
      <alignment horizontal="right"/>
    </xf>
    <xf numFmtId="0" fontId="8" fillId="0" borderId="11" xfId="0" applyFont="1" applyFill="1" applyBorder="1" applyAlignment="1">
      <alignment horizontal="right"/>
    </xf>
    <xf numFmtId="0" fontId="0" fillId="0" borderId="0" xfId="0" applyFont="1" applyFill="1" applyAlignment="1">
      <alignment horizontal="right"/>
    </xf>
    <xf numFmtId="3" fontId="2" fillId="0" borderId="11" xfId="0" applyNumberFormat="1" applyFont="1" applyFill="1" applyBorder="1" applyAlignment="1">
      <alignment horizontal="right"/>
    </xf>
    <xf numFmtId="0" fontId="0" fillId="0" borderId="0" xfId="0" applyFont="1" applyFill="1" applyBorder="1" applyAlignment="1">
      <alignment vertical="center"/>
    </xf>
    <xf numFmtId="3" fontId="16" fillId="0" borderId="0" xfId="0" applyNumberFormat="1" applyFont="1" applyFill="1" applyBorder="1" applyAlignment="1">
      <alignment horizontal="right"/>
    </xf>
    <xf numFmtId="0" fontId="0" fillId="0" borderId="11" xfId="0" applyFill="1" applyBorder="1" applyAlignment="1">
      <alignment horizontal="left"/>
    </xf>
    <xf numFmtId="0" fontId="0" fillId="0" borderId="11" xfId="0" applyFill="1" applyBorder="1" applyAlignment="1">
      <alignment horizontal="left" wrapText="1"/>
    </xf>
    <xf numFmtId="0" fontId="0" fillId="0" borderId="11" xfId="0" applyFill="1" applyBorder="1" applyAlignment="1">
      <alignment/>
    </xf>
    <xf numFmtId="0" fontId="0" fillId="0" borderId="0" xfId="0" applyFont="1" applyAlignment="1">
      <alignment vertical="center" wrapText="1"/>
    </xf>
    <xf numFmtId="0" fontId="31" fillId="0" borderId="0" xfId="0" applyFont="1" applyFill="1" applyBorder="1" applyAlignment="1">
      <alignment wrapText="1"/>
    </xf>
    <xf numFmtId="0" fontId="15" fillId="0" borderId="0" xfId="0" applyFont="1" applyFill="1" applyBorder="1" applyAlignment="1">
      <alignment horizontal="right"/>
    </xf>
    <xf numFmtId="0" fontId="0" fillId="0" borderId="0" xfId="0" applyBorder="1" applyAlignment="1">
      <alignment/>
    </xf>
    <xf numFmtId="0" fontId="2" fillId="0" borderId="11" xfId="0" applyFont="1" applyFill="1" applyBorder="1" applyAlignment="1">
      <alignment horizontal="left" indent="2"/>
    </xf>
    <xf numFmtId="49" fontId="2" fillId="0" borderId="11" xfId="0" applyNumberFormat="1" applyFont="1" applyFill="1" applyBorder="1" applyAlignment="1">
      <alignment horizontal="right" wrapText="1"/>
    </xf>
    <xf numFmtId="0" fontId="10" fillId="0" borderId="11" xfId="0" applyFont="1" applyFill="1" applyBorder="1" applyAlignment="1">
      <alignment horizontal="left"/>
    </xf>
    <xf numFmtId="0" fontId="2" fillId="0" borderId="11" xfId="0" applyFont="1" applyFill="1" applyBorder="1" applyAlignment="1">
      <alignment wrapText="1"/>
    </xf>
    <xf numFmtId="0" fontId="28" fillId="0" borderId="11" xfId="0" applyFont="1" applyFill="1" applyBorder="1" applyAlignment="1">
      <alignment wrapText="1"/>
    </xf>
    <xf numFmtId="0" fontId="28" fillId="0" borderId="11" xfId="0" applyFont="1" applyFill="1" applyBorder="1" applyAlignment="1">
      <alignment horizontal="right" wrapText="1"/>
    </xf>
    <xf numFmtId="0" fontId="80" fillId="0" borderId="0" xfId="0" applyFont="1" applyFill="1" applyAlignment="1">
      <alignment/>
    </xf>
    <xf numFmtId="0" fontId="80" fillId="0" borderId="0" xfId="0" applyFont="1" applyFill="1" applyAlignment="1">
      <alignment horizontal="right"/>
    </xf>
    <xf numFmtId="0" fontId="81" fillId="0" borderId="0" xfId="0" applyFont="1" applyFill="1" applyAlignment="1">
      <alignment/>
    </xf>
    <xf numFmtId="0" fontId="81" fillId="0" borderId="0" xfId="0" applyFont="1" applyFill="1" applyAlignment="1">
      <alignment horizontal="right"/>
    </xf>
    <xf numFmtId="0" fontId="81" fillId="35" borderId="0" xfId="0" applyFont="1" applyFill="1" applyAlignment="1">
      <alignment/>
    </xf>
    <xf numFmtId="0" fontId="82" fillId="0" borderId="0" xfId="0" applyFont="1" applyFill="1" applyAlignment="1">
      <alignment/>
    </xf>
    <xf numFmtId="0" fontId="82" fillId="0" borderId="0" xfId="0" applyFont="1" applyFill="1" applyAlignment="1">
      <alignment horizontal="right"/>
    </xf>
    <xf numFmtId="0" fontId="81" fillId="0" borderId="11" xfId="0" applyFont="1" applyFill="1" applyBorder="1" applyAlignment="1">
      <alignment/>
    </xf>
    <xf numFmtId="0" fontId="81" fillId="0" borderId="11" xfId="0" applyFont="1" applyFill="1" applyBorder="1" applyAlignment="1">
      <alignment horizontal="right"/>
    </xf>
    <xf numFmtId="3" fontId="15" fillId="0" borderId="0" xfId="0" applyNumberFormat="1" applyFont="1" applyFill="1" applyBorder="1" applyAlignment="1">
      <alignment horizontal="right"/>
    </xf>
    <xf numFmtId="3" fontId="16" fillId="0" borderId="0" xfId="0" applyNumberFormat="1" applyFont="1" applyFill="1" applyAlignment="1">
      <alignment/>
    </xf>
    <xf numFmtId="180" fontId="81" fillId="0" borderId="0" xfId="0" applyNumberFormat="1" applyFont="1" applyFill="1" applyAlignment="1">
      <alignment/>
    </xf>
    <xf numFmtId="176" fontId="81" fillId="0" borderId="0" xfId="0" applyNumberFormat="1" applyFont="1" applyFill="1" applyAlignment="1">
      <alignment/>
    </xf>
    <xf numFmtId="0" fontId="83" fillId="0" borderId="0" xfId="0" applyFont="1" applyFill="1" applyBorder="1" applyAlignment="1">
      <alignment wrapText="1"/>
    </xf>
    <xf numFmtId="0" fontId="81" fillId="0" borderId="0" xfId="0" applyFont="1" applyFill="1" applyBorder="1" applyAlignment="1">
      <alignment/>
    </xf>
    <xf numFmtId="3" fontId="81" fillId="0" borderId="0" xfId="0" applyNumberFormat="1" applyFont="1" applyFill="1" applyBorder="1" applyAlignment="1">
      <alignment horizontal="right"/>
    </xf>
    <xf numFmtId="2" fontId="2" fillId="0" borderId="0" xfId="0" applyNumberFormat="1" applyFont="1" applyFill="1" applyBorder="1" applyAlignment="1">
      <alignment/>
    </xf>
    <xf numFmtId="0" fontId="81" fillId="36" borderId="0" xfId="0" applyFont="1" applyFill="1" applyAlignment="1">
      <alignment/>
    </xf>
    <xf numFmtId="0" fontId="82" fillId="0" borderId="11" xfId="0" applyFont="1" applyFill="1" applyBorder="1" applyAlignment="1">
      <alignment/>
    </xf>
    <xf numFmtId="0" fontId="84" fillId="0" borderId="0" xfId="0" applyFont="1" applyFill="1" applyBorder="1" applyAlignment="1">
      <alignment wrapText="1"/>
    </xf>
    <xf numFmtId="3" fontId="33" fillId="0" borderId="0" xfId="0" applyNumberFormat="1" applyFont="1" applyFill="1" applyBorder="1" applyAlignment="1">
      <alignment horizontal="right"/>
    </xf>
    <xf numFmtId="176" fontId="81" fillId="0" borderId="0" xfId="0" applyNumberFormat="1" applyFont="1" applyFill="1" applyBorder="1" applyAlignment="1">
      <alignment/>
    </xf>
    <xf numFmtId="0" fontId="80" fillId="0" borderId="0" xfId="0" applyFont="1" applyFill="1" applyBorder="1" applyAlignment="1">
      <alignment/>
    </xf>
    <xf numFmtId="0" fontId="15" fillId="0" borderId="0" xfId="0" applyFont="1" applyFill="1" applyBorder="1" applyAlignment="1">
      <alignment/>
    </xf>
    <xf numFmtId="0" fontId="85" fillId="0" borderId="0" xfId="0" applyFont="1" applyFill="1" applyBorder="1" applyAlignment="1">
      <alignment wrapText="1"/>
    </xf>
    <xf numFmtId="0" fontId="86" fillId="0" borderId="0" xfId="0" applyFont="1" applyFill="1" applyBorder="1" applyAlignment="1">
      <alignment wrapText="1"/>
    </xf>
    <xf numFmtId="0" fontId="82" fillId="0" borderId="0" xfId="0" applyFont="1" applyFill="1" applyBorder="1" applyAlignment="1">
      <alignment/>
    </xf>
    <xf numFmtId="0" fontId="87" fillId="0" borderId="0" xfId="0" applyFont="1" applyFill="1" applyBorder="1" applyAlignment="1">
      <alignment wrapText="1"/>
    </xf>
    <xf numFmtId="0" fontId="82" fillId="36" borderId="0" xfId="0" applyFont="1" applyFill="1" applyBorder="1" applyAlignment="1">
      <alignment/>
    </xf>
    <xf numFmtId="0" fontId="34" fillId="0" borderId="0" xfId="0" applyFont="1" applyFill="1" applyBorder="1" applyAlignment="1">
      <alignment horizontal="left"/>
    </xf>
    <xf numFmtId="0" fontId="16" fillId="0" borderId="0" xfId="0" applyFont="1" applyFill="1" applyBorder="1" applyAlignment="1">
      <alignment horizontal="right" wrapText="1"/>
    </xf>
    <xf numFmtId="3" fontId="2" fillId="0" borderId="11" xfId="0" applyNumberFormat="1" applyFont="1" applyFill="1" applyBorder="1" applyAlignment="1">
      <alignment/>
    </xf>
    <xf numFmtId="0" fontId="88" fillId="0" borderId="0" xfId="0" applyFont="1" applyFill="1" applyBorder="1" applyAlignment="1">
      <alignment wrapText="1"/>
    </xf>
    <xf numFmtId="1" fontId="2" fillId="0" borderId="0" xfId="0" applyNumberFormat="1" applyFont="1" applyFill="1" applyBorder="1" applyAlignment="1">
      <alignment/>
    </xf>
    <xf numFmtId="1" fontId="2" fillId="0" borderId="11" xfId="0" applyNumberFormat="1" applyFont="1" applyFill="1" applyBorder="1" applyAlignment="1">
      <alignment/>
    </xf>
    <xf numFmtId="3" fontId="16" fillId="0" borderId="0" xfId="0" applyNumberFormat="1" applyFont="1" applyFill="1" applyBorder="1" applyAlignment="1">
      <alignment/>
    </xf>
    <xf numFmtId="1" fontId="0" fillId="0" borderId="11" xfId="0" applyNumberFormat="1" applyFont="1" applyFill="1" applyBorder="1" applyAlignment="1">
      <alignment/>
    </xf>
    <xf numFmtId="0" fontId="0" fillId="0" borderId="0" xfId="0" applyFont="1" applyFill="1" applyBorder="1" applyAlignment="1">
      <alignment horizontal="right" wrapText="1"/>
    </xf>
    <xf numFmtId="176" fontId="82" fillId="0" borderId="0" xfId="0" applyNumberFormat="1" applyFont="1" applyFill="1" applyBorder="1" applyAlignment="1">
      <alignment/>
    </xf>
    <xf numFmtId="176" fontId="81" fillId="0" borderId="11" xfId="0" applyNumberFormat="1" applyFont="1" applyFill="1" applyBorder="1" applyAlignment="1">
      <alignment/>
    </xf>
    <xf numFmtId="0" fontId="35" fillId="0" borderId="0" xfId="0" applyFont="1" applyFill="1" applyBorder="1" applyAlignment="1">
      <alignment wrapText="1"/>
    </xf>
    <xf numFmtId="0" fontId="15" fillId="0" borderId="0" xfId="0" applyFont="1" applyFill="1" applyBorder="1" applyAlignment="1">
      <alignment horizontal="left" indent="2"/>
    </xf>
    <xf numFmtId="0" fontId="16" fillId="0" borderId="0" xfId="0" applyFont="1" applyFill="1" applyBorder="1" applyAlignment="1">
      <alignment horizontal="left" wrapText="1" indent="2"/>
    </xf>
    <xf numFmtId="0" fontId="81" fillId="0" borderId="11" xfId="0" applyFont="1" applyFill="1" applyBorder="1" applyAlignment="1">
      <alignment/>
    </xf>
    <xf numFmtId="0" fontId="36" fillId="0" borderId="0" xfId="0" applyFont="1" applyFill="1" applyBorder="1" applyAlignment="1">
      <alignment wrapText="1"/>
    </xf>
    <xf numFmtId="0" fontId="36" fillId="0" borderId="0" xfId="0" applyFont="1" applyFill="1" applyBorder="1" applyAlignment="1">
      <alignment/>
    </xf>
    <xf numFmtId="49" fontId="37" fillId="0" borderId="0" xfId="0" applyNumberFormat="1" applyFont="1" applyFill="1" applyBorder="1" applyAlignment="1">
      <alignment/>
    </xf>
    <xf numFmtId="174" fontId="0" fillId="0" borderId="0" xfId="0" applyNumberFormat="1" applyFont="1" applyFill="1" applyBorder="1" applyAlignment="1">
      <alignment/>
    </xf>
    <xf numFmtId="178" fontId="23" fillId="0" borderId="0" xfId="0" applyNumberFormat="1" applyFont="1" applyFill="1" applyAlignment="1">
      <alignment wrapText="1"/>
    </xf>
    <xf numFmtId="0" fontId="10" fillId="0" borderId="0" xfId="0" applyFont="1" applyFill="1" applyAlignment="1">
      <alignment/>
    </xf>
    <xf numFmtId="177" fontId="23" fillId="0" borderId="0" xfId="0" applyNumberFormat="1" applyFont="1" applyFill="1" applyAlignment="1">
      <alignment/>
    </xf>
    <xf numFmtId="0" fontId="12" fillId="0" borderId="0" xfId="0" applyFont="1" applyFill="1" applyBorder="1" applyAlignment="1">
      <alignment/>
    </xf>
    <xf numFmtId="0" fontId="78" fillId="0" borderId="0" xfId="0" applyFont="1" applyFill="1" applyAlignment="1">
      <alignment wrapText="1"/>
    </xf>
    <xf numFmtId="3" fontId="79" fillId="0" borderId="0" xfId="0" applyNumberFormat="1" applyFont="1" applyFill="1" applyBorder="1" applyAlignment="1">
      <alignment wrapText="1"/>
    </xf>
    <xf numFmtId="0" fontId="79" fillId="0" borderId="0" xfId="0" applyFont="1" applyFill="1" applyBorder="1" applyAlignment="1">
      <alignment wrapText="1"/>
    </xf>
    <xf numFmtId="0" fontId="89" fillId="0" borderId="0" xfId="0" applyFont="1" applyFill="1" applyAlignment="1">
      <alignment/>
    </xf>
    <xf numFmtId="0" fontId="82" fillId="37" borderId="0" xfId="0" applyFont="1" applyFill="1" applyAlignment="1">
      <alignment/>
    </xf>
    <xf numFmtId="173" fontId="2" fillId="0" borderId="0" xfId="0" applyNumberFormat="1" applyFont="1" applyFill="1" applyAlignment="1">
      <alignment/>
    </xf>
    <xf numFmtId="3" fontId="0" fillId="0" borderId="13" xfId="0" applyNumberFormat="1" applyFont="1" applyFill="1" applyBorder="1" applyAlignment="1">
      <alignment/>
    </xf>
    <xf numFmtId="3" fontId="2" fillId="0" borderId="13" xfId="0" applyNumberFormat="1" applyFont="1" applyFill="1" applyBorder="1" applyAlignment="1">
      <alignment/>
    </xf>
    <xf numFmtId="0" fontId="2" fillId="0" borderId="11" xfId="0" applyNumberFormat="1" applyFont="1" applyFill="1" applyBorder="1" applyAlignment="1">
      <alignment horizontal="right"/>
    </xf>
    <xf numFmtId="0" fontId="0" fillId="0" borderId="0" xfId="0" applyFont="1" applyAlignment="1">
      <alignment horizontal="center" vertic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10" xfId="60"/>
    <cellStyle name="Normal 11" xfId="61"/>
    <cellStyle name="Normal 12" xfId="62"/>
    <cellStyle name="Normal 13" xfId="63"/>
    <cellStyle name="Normal 14" xfId="64"/>
    <cellStyle name="Normal 15" xfId="65"/>
    <cellStyle name="Normal 16" xfId="66"/>
    <cellStyle name="Normal 17" xfId="67"/>
    <cellStyle name="Normal 18" xfId="68"/>
    <cellStyle name="Normal 19" xfId="69"/>
    <cellStyle name="Normal 2" xfId="70"/>
    <cellStyle name="Normal 2 3" xfId="71"/>
    <cellStyle name="Normal 20" xfId="72"/>
    <cellStyle name="Normal 21" xfId="73"/>
    <cellStyle name="Normal 22" xfId="74"/>
    <cellStyle name="Normal 23" xfId="75"/>
    <cellStyle name="Normal 24" xfId="76"/>
    <cellStyle name="Normal 25" xfId="77"/>
    <cellStyle name="Normal 26" xfId="78"/>
    <cellStyle name="Normal 3" xfId="79"/>
    <cellStyle name="Normal 4" xfId="80"/>
    <cellStyle name="Normal 5" xfId="81"/>
    <cellStyle name="Normal 6" xfId="82"/>
    <cellStyle name="Normal 7" xfId="83"/>
    <cellStyle name="Normal 8" xfId="84"/>
    <cellStyle name="Normal 9" xfId="85"/>
    <cellStyle name="Note" xfId="86"/>
    <cellStyle name="Output" xfId="87"/>
    <cellStyle name="Percent" xfId="88"/>
    <cellStyle name="Percent [2]" xfId="89"/>
    <cellStyle name="Percent 10" xfId="90"/>
    <cellStyle name="Percent 11" xfId="91"/>
    <cellStyle name="Percent 12" xfId="92"/>
    <cellStyle name="Percent 13" xfId="93"/>
    <cellStyle name="Percent 2" xfId="94"/>
    <cellStyle name="Percent 3" xfId="95"/>
    <cellStyle name="Percent 4" xfId="96"/>
    <cellStyle name="Percent 5" xfId="97"/>
    <cellStyle name="Percent 6" xfId="98"/>
    <cellStyle name="Percent 7" xfId="99"/>
    <cellStyle name="Percent 8" xfId="100"/>
    <cellStyle name="Percent 9" xfId="101"/>
    <cellStyle name="Times New Roman"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33</xdr:row>
      <xdr:rowOff>0</xdr:rowOff>
    </xdr:from>
    <xdr:ext cx="2867025" cy="9525"/>
    <xdr:sp>
      <xdr:nvSpPr>
        <xdr:cNvPr id="1" name="AutoShape 1"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2" name="AutoShape 2"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3" name="AutoShape 3"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4" name="AutoShape 4"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5" name="AutoShape 5"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6" name="AutoShape 6"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7" name="AutoShape 7"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8" name="AutoShape 8"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9" name="AutoShape 9"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0" name="AutoShape 10"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1" name="AutoShape 11"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2" name="AutoShape 12"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3" name="AutoShape 13"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2867025" cy="9525"/>
    <xdr:sp>
      <xdr:nvSpPr>
        <xdr:cNvPr id="14" name="AutoShape 14" descr="p_gray"/>
        <xdr:cNvSpPr>
          <a:spLocks noChangeAspect="1"/>
        </xdr:cNvSpPr>
      </xdr:nvSpPr>
      <xdr:spPr>
        <a:xfrm>
          <a:off x="4810125" y="6924675"/>
          <a:ext cx="28670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5" name="AutoShape 27"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6" name="AutoShape 28"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7" name="AutoShape 29"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8" name="AutoShape 30"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19" name="AutoShape 31"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0" name="AutoShape 32"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1" name="AutoShape 33"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2" name="AutoShape 34"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3" name="AutoShape 35"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4229100" cy="9525"/>
    <xdr:sp>
      <xdr:nvSpPr>
        <xdr:cNvPr id="24" name="AutoShape 36" descr="p_gray"/>
        <xdr:cNvSpPr>
          <a:spLocks noChangeAspect="1"/>
        </xdr:cNvSpPr>
      </xdr:nvSpPr>
      <xdr:spPr>
        <a:xfrm>
          <a:off x="4810125" y="6924675"/>
          <a:ext cx="4229100"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504825" cy="9525"/>
    <xdr:sp>
      <xdr:nvSpPr>
        <xdr:cNvPr id="25" name="AutoShape 1" descr="p_gray"/>
        <xdr:cNvSpPr>
          <a:spLocks noChangeAspect="1"/>
        </xdr:cNvSpPr>
      </xdr:nvSpPr>
      <xdr:spPr>
        <a:xfrm>
          <a:off x="4810125" y="51054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504825" cy="9525"/>
    <xdr:sp>
      <xdr:nvSpPr>
        <xdr:cNvPr id="26" name="AutoShape 2" descr="p_gray"/>
        <xdr:cNvSpPr>
          <a:spLocks noChangeAspect="1"/>
        </xdr:cNvSpPr>
      </xdr:nvSpPr>
      <xdr:spPr>
        <a:xfrm>
          <a:off x="4810125" y="510540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628650</xdr:rowOff>
    </xdr:from>
    <xdr:ext cx="504825" cy="9525"/>
    <xdr:sp>
      <xdr:nvSpPr>
        <xdr:cNvPr id="27" name="AutoShape 3" descr="p_gray"/>
        <xdr:cNvSpPr>
          <a:spLocks noChangeAspect="1"/>
        </xdr:cNvSpPr>
      </xdr:nvSpPr>
      <xdr:spPr>
        <a:xfrm>
          <a:off x="4810125" y="57340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28" name="AutoShape 4"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29" name="AutoShape 5"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0" name="AutoShape 6"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1" name="AutoShape 7"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2" name="AutoShape 8"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3" name="AutoShape 9"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4" name="AutoShape 10"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5" name="AutoShape 11"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6" name="AutoShape 12"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7" name="AutoShape 13"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504825" cy="9525"/>
    <xdr:sp>
      <xdr:nvSpPr>
        <xdr:cNvPr id="38" name="AutoShape 14" descr="p_gray"/>
        <xdr:cNvSpPr>
          <a:spLocks noChangeAspect="1"/>
        </xdr:cNvSpPr>
      </xdr:nvSpPr>
      <xdr:spPr>
        <a:xfrm>
          <a:off x="4810125" y="4819650"/>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39" name="AutoShape 27"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0" name="AutoShape 28"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1" name="AutoShape 29"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2" name="AutoShape 30"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3" name="AutoShape 31"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4" name="AutoShape 32"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5" name="AutoShape 33"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6" name="AutoShape 34"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7" name="AutoShape 35"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33</xdr:row>
      <xdr:rowOff>0</xdr:rowOff>
    </xdr:from>
    <xdr:ext cx="504825" cy="9525"/>
    <xdr:sp>
      <xdr:nvSpPr>
        <xdr:cNvPr id="48" name="AutoShape 36" descr="p_gray"/>
        <xdr:cNvSpPr>
          <a:spLocks noChangeAspect="1"/>
        </xdr:cNvSpPr>
      </xdr:nvSpPr>
      <xdr:spPr>
        <a:xfrm>
          <a:off x="4810125" y="6924675"/>
          <a:ext cx="5048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A\Strictly%20Confidential\C-E\2.%20External%20reports\Annual%20Report\2015\Antal%20anst&#228;llda%20med%20k&#246;nsf&#246;rdelning%202006%20-%202015%20(2016-0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A\Strictly%20Confidential\C-E\2.%20External%20reports\Annual%20Report\2016\Antal%20anst&#228;llda%20med%20k&#246;nsf&#246;rdelning%202006%20-%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5 M &amp; F Empl per country"/>
      <sheetName val="2015 M&amp;F split"/>
      <sheetName val="FTE 2015"/>
      <sheetName val="2014 M &amp; F Empl per country"/>
      <sheetName val="2014 M&amp;F split"/>
      <sheetName val="FTE 2014"/>
      <sheetName val="2013 M&amp;F split"/>
      <sheetName val="2013 M &amp; F Empl per country"/>
      <sheetName val="Empl per country Sum"/>
      <sheetName val="Empl per country 2012"/>
      <sheetName val="db_2012"/>
      <sheetName val="Empl per country 2011"/>
      <sheetName val="db_2011"/>
      <sheetName val="Empl per country 2010"/>
      <sheetName val="Empl per country 2009"/>
      <sheetName val="Empl per country 2008"/>
      <sheetName val="Empl per country 2007"/>
      <sheetName val="Empl per country 2006"/>
      <sheetName val="Original data from Web"/>
      <sheetName val="db_2010"/>
      <sheetName val="db_2009"/>
      <sheetName val="db_2008"/>
      <sheetName val="db_2007"/>
      <sheetName val="db_2006"/>
      <sheetName val="tables"/>
    </sheetNames>
    <sheetDataSet>
      <sheetData sheetId="2">
        <row r="6">
          <cell r="A6" t="str">
            <v>ARGENTINA</v>
          </cell>
          <cell r="B6">
            <v>1063</v>
          </cell>
        </row>
        <row r="7">
          <cell r="A7" t="str">
            <v>AUSTRALIA</v>
          </cell>
          <cell r="B7">
            <v>1320</v>
          </cell>
        </row>
        <row r="8">
          <cell r="A8" t="str">
            <v>AUSTRIA</v>
          </cell>
          <cell r="B8">
            <v>112</v>
          </cell>
        </row>
        <row r="9">
          <cell r="A9" t="str">
            <v>BELGIUM</v>
          </cell>
          <cell r="B9">
            <v>183</v>
          </cell>
        </row>
        <row r="10">
          <cell r="A10" t="str">
            <v>BRAZIL</v>
          </cell>
          <cell r="B10">
            <v>8683</v>
          </cell>
        </row>
        <row r="11">
          <cell r="A11" t="str">
            <v>CANADA</v>
          </cell>
          <cell r="B11">
            <v>232</v>
          </cell>
        </row>
        <row r="12">
          <cell r="A12" t="str">
            <v>CHILE</v>
          </cell>
          <cell r="B12">
            <v>2279</v>
          </cell>
        </row>
        <row r="13">
          <cell r="A13" t="str">
            <v>CHINA</v>
          </cell>
          <cell r="B13">
            <v>1034</v>
          </cell>
        </row>
        <row r="14">
          <cell r="A14" t="str">
            <v>COLOMBIACOP</v>
          </cell>
          <cell r="B14">
            <v>243</v>
          </cell>
        </row>
        <row r="15">
          <cell r="A15" t="str">
            <v>CROATIA</v>
          </cell>
          <cell r="B15">
            <v>26</v>
          </cell>
        </row>
        <row r="16">
          <cell r="A16" t="str">
            <v>CZECHREPUBLIC</v>
          </cell>
          <cell r="B16">
            <v>41</v>
          </cell>
        </row>
        <row r="17">
          <cell r="A17" t="str">
            <v>DENMARK</v>
          </cell>
          <cell r="B17">
            <v>169</v>
          </cell>
        </row>
        <row r="18">
          <cell r="A18" t="str">
            <v>ECUADOR</v>
          </cell>
          <cell r="B18">
            <v>128</v>
          </cell>
        </row>
        <row r="19">
          <cell r="A19" t="str">
            <v>EGYPT</v>
          </cell>
          <cell r="B19">
            <v>4174</v>
          </cell>
        </row>
        <row r="20">
          <cell r="A20" t="str">
            <v>ESTONIA</v>
          </cell>
          <cell r="B20">
            <v>16</v>
          </cell>
        </row>
        <row r="21">
          <cell r="A21" t="str">
            <v>FINLAND</v>
          </cell>
          <cell r="B21">
            <v>115</v>
          </cell>
        </row>
        <row r="22">
          <cell r="A22" t="str">
            <v>FRANCE</v>
          </cell>
          <cell r="B22">
            <v>590</v>
          </cell>
        </row>
        <row r="23">
          <cell r="A23" t="str">
            <v>GERMANY</v>
          </cell>
          <cell r="B23">
            <v>1651</v>
          </cell>
        </row>
        <row r="24">
          <cell r="A24" t="str">
            <v>GREATBRITAIN</v>
          </cell>
          <cell r="B24">
            <v>402</v>
          </cell>
        </row>
        <row r="25">
          <cell r="A25" t="str">
            <v>GREECE</v>
          </cell>
          <cell r="B25">
            <v>44</v>
          </cell>
        </row>
        <row r="26">
          <cell r="A26" t="str">
            <v>HONGKONG</v>
          </cell>
          <cell r="B26">
            <v>22</v>
          </cell>
        </row>
        <row r="27">
          <cell r="A27" t="str">
            <v>HUNGARY</v>
          </cell>
          <cell r="B27">
            <v>2638</v>
          </cell>
        </row>
        <row r="28">
          <cell r="A28" t="str">
            <v>INDIA</v>
          </cell>
          <cell r="B28">
            <v>24</v>
          </cell>
        </row>
        <row r="29">
          <cell r="A29" t="str">
            <v>INDONESIA</v>
          </cell>
          <cell r="B29">
            <v>214</v>
          </cell>
        </row>
        <row r="30">
          <cell r="A30" t="str">
            <v>IRELAND</v>
          </cell>
          <cell r="B30">
            <v>20</v>
          </cell>
        </row>
        <row r="31">
          <cell r="A31" t="str">
            <v>ITALY</v>
          </cell>
          <cell r="B31">
            <v>5183</v>
          </cell>
        </row>
        <row r="32">
          <cell r="A32" t="str">
            <v>JAPAN</v>
          </cell>
          <cell r="B32">
            <v>143</v>
          </cell>
        </row>
        <row r="33">
          <cell r="A33" t="str">
            <v>LATVIA</v>
          </cell>
          <cell r="B33">
            <v>10</v>
          </cell>
        </row>
        <row r="34">
          <cell r="A34" t="str">
            <v>LITHUANIA</v>
          </cell>
          <cell r="B34">
            <v>14</v>
          </cell>
        </row>
        <row r="35">
          <cell r="A35" t="str">
            <v>LUXEMBOURG</v>
          </cell>
          <cell r="B35">
            <v>28</v>
          </cell>
        </row>
        <row r="36">
          <cell r="A36" t="str">
            <v>MALAYSIA</v>
          </cell>
          <cell r="B36">
            <v>201</v>
          </cell>
        </row>
        <row r="37">
          <cell r="A37" t="str">
            <v>MEXICO</v>
          </cell>
          <cell r="B37">
            <v>5710</v>
          </cell>
        </row>
        <row r="38">
          <cell r="A38" t="str">
            <v>NETHERLANDS</v>
          </cell>
          <cell r="B38">
            <v>244</v>
          </cell>
        </row>
        <row r="39">
          <cell r="A39" t="str">
            <v>NEWZEALAND</v>
          </cell>
          <cell r="B39">
            <v>49</v>
          </cell>
        </row>
        <row r="40">
          <cell r="A40" t="str">
            <v>NORWAY</v>
          </cell>
          <cell r="B40">
            <v>55</v>
          </cell>
        </row>
        <row r="41">
          <cell r="A41" t="str">
            <v>PERU</v>
          </cell>
          <cell r="B41">
            <v>212</v>
          </cell>
        </row>
        <row r="42">
          <cell r="A42" t="str">
            <v>PHILIPPINES</v>
          </cell>
          <cell r="B42">
            <v>64</v>
          </cell>
        </row>
        <row r="43">
          <cell r="A43" t="str">
            <v>POLAND</v>
          </cell>
          <cell r="B43">
            <v>4803</v>
          </cell>
        </row>
        <row r="44">
          <cell r="A44" t="str">
            <v>PORTUGAL</v>
          </cell>
          <cell r="B44">
            <v>29</v>
          </cell>
        </row>
        <row r="45">
          <cell r="A45" t="str">
            <v>ROMANIAROL</v>
          </cell>
          <cell r="B45">
            <v>775</v>
          </cell>
        </row>
        <row r="46">
          <cell r="A46" t="str">
            <v>RUSSIA</v>
          </cell>
          <cell r="B46">
            <v>134</v>
          </cell>
        </row>
        <row r="47">
          <cell r="A47" t="str">
            <v>SINGAPORE2</v>
          </cell>
          <cell r="B47">
            <v>214</v>
          </cell>
        </row>
        <row r="48">
          <cell r="A48" t="str">
            <v>SLOVAKIA</v>
          </cell>
          <cell r="B48">
            <v>46</v>
          </cell>
        </row>
        <row r="49">
          <cell r="A49" t="str">
            <v>SLOVENIA</v>
          </cell>
          <cell r="B49">
            <v>7</v>
          </cell>
        </row>
        <row r="50">
          <cell r="A50" t="str">
            <v>SOUTHAFRICA</v>
          </cell>
          <cell r="B50">
            <v>44</v>
          </cell>
        </row>
        <row r="51">
          <cell r="A51" t="str">
            <v>SOUTHKOREA</v>
          </cell>
          <cell r="B51">
            <v>53</v>
          </cell>
        </row>
        <row r="52">
          <cell r="A52" t="str">
            <v>SPAIN</v>
          </cell>
          <cell r="B52">
            <v>214</v>
          </cell>
        </row>
        <row r="53">
          <cell r="A53" t="str">
            <v>SWEDEN</v>
          </cell>
          <cell r="B53">
            <v>2027</v>
          </cell>
        </row>
        <row r="54">
          <cell r="A54" t="str">
            <v>SWITZERLAND</v>
          </cell>
          <cell r="B54">
            <v>694</v>
          </cell>
        </row>
        <row r="55">
          <cell r="A55" t="str">
            <v>TAIWAN</v>
          </cell>
          <cell r="B55">
            <v>37</v>
          </cell>
        </row>
        <row r="56">
          <cell r="A56" t="str">
            <v>THAILAND</v>
          </cell>
          <cell r="B56">
            <v>1748</v>
          </cell>
        </row>
        <row r="57">
          <cell r="A57" t="str">
            <v>TURKEYTRY</v>
          </cell>
          <cell r="B57">
            <v>65</v>
          </cell>
        </row>
        <row r="58">
          <cell r="A58" t="str">
            <v>UAE</v>
          </cell>
          <cell r="B58">
            <v>29</v>
          </cell>
        </row>
        <row r="59">
          <cell r="A59" t="str">
            <v>UKRAINE</v>
          </cell>
          <cell r="B59">
            <v>213</v>
          </cell>
        </row>
        <row r="60">
          <cell r="A60" t="str">
            <v>USA</v>
          </cell>
          <cell r="B60">
            <v>9701</v>
          </cell>
        </row>
        <row r="61">
          <cell r="A61" t="str">
            <v>VENEZUELA</v>
          </cell>
          <cell r="B61">
            <v>7</v>
          </cell>
        </row>
        <row r="62">
          <cell r="A62" t="str">
            <v>VIETNAM</v>
          </cell>
          <cell r="B62">
            <v>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6 M &amp; F Empl per country"/>
      <sheetName val="2016 M&amp;F split"/>
      <sheetName val="FTE 2016 (&amp;2015)"/>
      <sheetName val="2015 M&amp;F split"/>
      <sheetName val="2015 M &amp; F Empl per country"/>
      <sheetName val="2014 &amp; 2015-to Legal"/>
      <sheetName val="2014 M &amp; F Empl per country"/>
      <sheetName val="2014 M&amp;F split"/>
      <sheetName val="FTE 2014"/>
      <sheetName val="2013 M&amp;F split"/>
      <sheetName val="2013 M &amp; F Empl per country"/>
      <sheetName val="Empl per country Sum"/>
      <sheetName val="Empl per country 2012"/>
      <sheetName val="db_2012"/>
      <sheetName val="Empl per country 2011"/>
      <sheetName val="db_2011"/>
      <sheetName val="Empl per country 2010"/>
      <sheetName val="Empl per country 2009"/>
      <sheetName val="Empl per country 2008"/>
      <sheetName val="Empl per country 2007"/>
      <sheetName val="Empl per country 2006"/>
      <sheetName val="Original data from Web"/>
      <sheetName val="db_2010"/>
      <sheetName val="db_2009"/>
      <sheetName val="db_2008"/>
      <sheetName val="db_2007"/>
      <sheetName val="db_2006"/>
      <sheetName val="tables"/>
    </sheetNames>
    <sheetDataSet>
      <sheetData sheetId="2">
        <row r="76">
          <cell r="A76" t="str">
            <v>ARGENTINA</v>
          </cell>
          <cell r="B76">
            <v>974</v>
          </cell>
        </row>
        <row r="77">
          <cell r="A77" t="str">
            <v>AUSTRALIA</v>
          </cell>
          <cell r="B77">
            <v>1085</v>
          </cell>
        </row>
        <row r="78">
          <cell r="A78" t="str">
            <v>AUSTRIA</v>
          </cell>
          <cell r="B78">
            <v>108</v>
          </cell>
        </row>
        <row r="79">
          <cell r="A79" t="str">
            <v>BELGIUM</v>
          </cell>
          <cell r="B79">
            <v>186</v>
          </cell>
        </row>
        <row r="80">
          <cell r="A80" t="str">
            <v>BRAZIL</v>
          </cell>
          <cell r="B80">
            <v>6996</v>
          </cell>
        </row>
        <row r="81">
          <cell r="A81" t="str">
            <v>CANADA</v>
          </cell>
          <cell r="B81">
            <v>203</v>
          </cell>
        </row>
        <row r="82">
          <cell r="A82" t="str">
            <v>CHILE</v>
          </cell>
          <cell r="B82">
            <v>2239</v>
          </cell>
        </row>
        <row r="83">
          <cell r="A83" t="str">
            <v>CHINA</v>
          </cell>
          <cell r="B83">
            <v>1006</v>
          </cell>
        </row>
        <row r="84">
          <cell r="A84" t="str">
            <v>COLOMBIACOP</v>
          </cell>
          <cell r="B84">
            <v>261</v>
          </cell>
        </row>
        <row r="85">
          <cell r="A85" t="str">
            <v>CROATIA</v>
          </cell>
          <cell r="B85">
            <v>28</v>
          </cell>
        </row>
        <row r="86">
          <cell r="A86" t="str">
            <v>CZECHREPUBLIC</v>
          </cell>
          <cell r="B86">
            <v>48</v>
          </cell>
        </row>
        <row r="87">
          <cell r="A87" t="str">
            <v>DENMARK</v>
          </cell>
          <cell r="B87">
            <v>166</v>
          </cell>
        </row>
        <row r="88">
          <cell r="A88" t="str">
            <v>ECUADOR</v>
          </cell>
          <cell r="B88">
            <v>95</v>
          </cell>
        </row>
        <row r="89">
          <cell r="A89" t="str">
            <v>EGYPT</v>
          </cell>
          <cell r="B89">
            <v>3218</v>
          </cell>
        </row>
        <row r="90">
          <cell r="A90" t="str">
            <v>ESTONIA</v>
          </cell>
          <cell r="B90">
            <v>14</v>
          </cell>
        </row>
        <row r="91">
          <cell r="A91" t="str">
            <v>FINLAND</v>
          </cell>
          <cell r="B91">
            <v>111</v>
          </cell>
        </row>
        <row r="92">
          <cell r="A92" t="str">
            <v>FRANCE</v>
          </cell>
          <cell r="B92">
            <v>585</v>
          </cell>
        </row>
        <row r="93">
          <cell r="A93" t="str">
            <v>GERMANY</v>
          </cell>
          <cell r="B93">
            <v>1686</v>
          </cell>
        </row>
        <row r="94">
          <cell r="A94" t="str">
            <v>GREATBRITAIN</v>
          </cell>
          <cell r="B94">
            <v>405</v>
          </cell>
        </row>
        <row r="95">
          <cell r="A95" t="str">
            <v>GREECE</v>
          </cell>
          <cell r="B95">
            <v>41</v>
          </cell>
        </row>
        <row r="96">
          <cell r="A96" t="str">
            <v>HONGKONG</v>
          </cell>
          <cell r="B96">
            <v>24</v>
          </cell>
        </row>
        <row r="97">
          <cell r="A97" t="str">
            <v>HUNGARY</v>
          </cell>
          <cell r="B97">
            <v>2746</v>
          </cell>
        </row>
        <row r="98">
          <cell r="A98" t="str">
            <v>INDIA</v>
          </cell>
          <cell r="B98">
            <v>23</v>
          </cell>
        </row>
        <row r="99">
          <cell r="A99" t="str">
            <v>INDONESIA</v>
          </cell>
          <cell r="B99">
            <v>107</v>
          </cell>
        </row>
        <row r="100">
          <cell r="A100" t="str">
            <v>IRELAND</v>
          </cell>
          <cell r="B100">
            <v>20</v>
          </cell>
        </row>
        <row r="101">
          <cell r="A101" t="str">
            <v>IRELAND2</v>
          </cell>
          <cell r="B101">
            <v>0</v>
          </cell>
        </row>
        <row r="102">
          <cell r="A102" t="str">
            <v>ITALY</v>
          </cell>
          <cell r="B102">
            <v>5181</v>
          </cell>
        </row>
        <row r="103">
          <cell r="A103" t="str">
            <v>JAPAN</v>
          </cell>
          <cell r="B103">
            <v>136</v>
          </cell>
        </row>
        <row r="104">
          <cell r="A104" t="str">
            <v>LATVIA</v>
          </cell>
          <cell r="B104">
            <v>10</v>
          </cell>
        </row>
        <row r="105">
          <cell r="A105" t="str">
            <v>LITHUANIA</v>
          </cell>
          <cell r="B105">
            <v>14</v>
          </cell>
        </row>
        <row r="106">
          <cell r="A106" t="str">
            <v>LUXEMBOURG</v>
          </cell>
          <cell r="B106">
            <v>28</v>
          </cell>
        </row>
        <row r="107">
          <cell r="A107" t="str">
            <v>MALAYSIA</v>
          </cell>
          <cell r="B107">
            <v>209</v>
          </cell>
        </row>
        <row r="108">
          <cell r="A108" t="str">
            <v>MEXICO</v>
          </cell>
          <cell r="B108">
            <v>5448</v>
          </cell>
        </row>
        <row r="109">
          <cell r="A109" t="str">
            <v>NETHERLANDS</v>
          </cell>
          <cell r="B109">
            <v>240</v>
          </cell>
        </row>
        <row r="110">
          <cell r="A110" t="str">
            <v>NEWZEALAND</v>
          </cell>
          <cell r="B110">
            <v>51</v>
          </cell>
        </row>
        <row r="111">
          <cell r="A111" t="str">
            <v>NORWAY</v>
          </cell>
          <cell r="B111">
            <v>56</v>
          </cell>
        </row>
        <row r="112">
          <cell r="A112" t="str">
            <v>PERU</v>
          </cell>
          <cell r="B112">
            <v>202</v>
          </cell>
        </row>
        <row r="113">
          <cell r="A113" t="str">
            <v>PHILIPPINES</v>
          </cell>
          <cell r="B113">
            <v>61</v>
          </cell>
        </row>
        <row r="114">
          <cell r="A114" t="str">
            <v>POLAND</v>
          </cell>
          <cell r="B114">
            <v>5036</v>
          </cell>
        </row>
        <row r="115">
          <cell r="A115" t="str">
            <v>PORTUGAL</v>
          </cell>
          <cell r="B115">
            <v>29</v>
          </cell>
        </row>
        <row r="116">
          <cell r="A116" t="str">
            <v>ROMANIA</v>
          </cell>
          <cell r="B116">
            <v>0</v>
          </cell>
        </row>
        <row r="117">
          <cell r="A117" t="str">
            <v>ROMANIAROL</v>
          </cell>
          <cell r="B117">
            <v>818</v>
          </cell>
        </row>
        <row r="118">
          <cell r="A118" t="str">
            <v>RUSSIA</v>
          </cell>
          <cell r="B118">
            <v>133</v>
          </cell>
        </row>
        <row r="119">
          <cell r="A119" t="str">
            <v>SINGAPORE2</v>
          </cell>
          <cell r="B119">
            <v>205</v>
          </cell>
        </row>
        <row r="120">
          <cell r="A120" t="str">
            <v>SLOVAKIA</v>
          </cell>
          <cell r="B120">
            <v>45</v>
          </cell>
        </row>
        <row r="121">
          <cell r="A121" t="str">
            <v>SLOVENIA</v>
          </cell>
          <cell r="B121">
            <v>4</v>
          </cell>
        </row>
        <row r="122">
          <cell r="A122" t="str">
            <v>SOUTHAFRICA</v>
          </cell>
          <cell r="B122">
            <v>37</v>
          </cell>
        </row>
        <row r="123">
          <cell r="A123" t="str">
            <v>SOUTHKOREA</v>
          </cell>
          <cell r="B123">
            <v>57</v>
          </cell>
        </row>
        <row r="124">
          <cell r="A124" t="str">
            <v>SPAIN</v>
          </cell>
          <cell r="B124">
            <v>214</v>
          </cell>
        </row>
        <row r="125">
          <cell r="A125" t="str">
            <v>SWEDEN</v>
          </cell>
          <cell r="B125">
            <v>2076</v>
          </cell>
        </row>
        <row r="126">
          <cell r="A126" t="str">
            <v>SWITZERLAND</v>
          </cell>
          <cell r="B126">
            <v>595</v>
          </cell>
        </row>
        <row r="127">
          <cell r="A127" t="str">
            <v>TAIWAN</v>
          </cell>
          <cell r="B127">
            <v>37</v>
          </cell>
        </row>
        <row r="128">
          <cell r="A128" t="str">
            <v>THAILAND</v>
          </cell>
          <cell r="B128">
            <v>1733</v>
          </cell>
        </row>
        <row r="129">
          <cell r="A129" t="str">
            <v>TURKEYTRY</v>
          </cell>
          <cell r="B129">
            <v>70</v>
          </cell>
        </row>
        <row r="130">
          <cell r="A130" t="str">
            <v>UAE</v>
          </cell>
          <cell r="B130">
            <v>44</v>
          </cell>
        </row>
        <row r="131">
          <cell r="A131" t="str">
            <v>UKRAINE</v>
          </cell>
          <cell r="B131">
            <v>298</v>
          </cell>
        </row>
        <row r="132">
          <cell r="A132" t="str">
            <v>URUGUAY2</v>
          </cell>
          <cell r="B132">
            <v>0</v>
          </cell>
        </row>
        <row r="133">
          <cell r="A133" t="str">
            <v>USA</v>
          </cell>
          <cell r="B133">
            <v>9861</v>
          </cell>
        </row>
        <row r="134">
          <cell r="A134" t="str">
            <v>VENEZUELA</v>
          </cell>
          <cell r="B134">
            <v>3</v>
          </cell>
        </row>
        <row r="135">
          <cell r="A135" t="str">
            <v>VIETNAM</v>
          </cell>
          <cell r="B135">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48"/>
  <sheetViews>
    <sheetView zoomScale="90" zoomScaleNormal="90" zoomScalePageLayoutView="0" workbookViewId="0" topLeftCell="A10">
      <selection activeCell="C27" sqref="C27"/>
    </sheetView>
  </sheetViews>
  <sheetFormatPr defaultColWidth="9.140625" defaultRowHeight="12.75"/>
  <cols>
    <col min="1" max="1" width="10.7109375" style="89" customWidth="1"/>
    <col min="2" max="2" width="15.7109375" style="89" customWidth="1"/>
    <col min="3" max="3" width="49.140625" style="89" customWidth="1"/>
    <col min="4" max="4" width="26.421875" style="89" customWidth="1"/>
    <col min="5" max="16384" width="9.140625" style="89" customWidth="1"/>
  </cols>
  <sheetData>
    <row r="1" spans="2:3" ht="17.25">
      <c r="B1" s="147" t="s">
        <v>289</v>
      </c>
      <c r="C1" s="147" t="s">
        <v>289</v>
      </c>
    </row>
    <row r="2" ht="12.75">
      <c r="C2" s="148" t="s">
        <v>290</v>
      </c>
    </row>
    <row r="3" ht="12.75">
      <c r="C3" s="149" t="s">
        <v>142</v>
      </c>
    </row>
    <row r="4" ht="12.75">
      <c r="C4" s="149" t="s">
        <v>430</v>
      </c>
    </row>
    <row r="5" ht="12.75">
      <c r="D5" s="132" t="s">
        <v>377</v>
      </c>
    </row>
    <row r="6" spans="3:12" ht="12.75">
      <c r="C6" s="90" t="s">
        <v>291</v>
      </c>
      <c r="D6" s="89">
        <v>2007</v>
      </c>
      <c r="G6" s="299" t="s">
        <v>446</v>
      </c>
      <c r="H6" s="299"/>
      <c r="I6" s="299"/>
      <c r="J6" s="299"/>
      <c r="K6" s="299"/>
      <c r="L6" s="299"/>
    </row>
    <row r="7" spans="3:12" ht="12.75">
      <c r="C7" s="89" t="s">
        <v>303</v>
      </c>
      <c r="D7" s="89">
        <v>2007</v>
      </c>
      <c r="G7" s="299"/>
      <c r="H7" s="299"/>
      <c r="I7" s="299"/>
      <c r="J7" s="299"/>
      <c r="K7" s="299"/>
      <c r="L7" s="299"/>
    </row>
    <row r="8" spans="3:12" ht="12.75">
      <c r="C8" s="89" t="s">
        <v>304</v>
      </c>
      <c r="D8" s="89">
        <v>2007</v>
      </c>
      <c r="G8" s="299"/>
      <c r="H8" s="299"/>
      <c r="I8" s="299"/>
      <c r="J8" s="299"/>
      <c r="K8" s="299"/>
      <c r="L8" s="299"/>
    </row>
    <row r="9" spans="3:12" ht="12.75">
      <c r="C9" s="40" t="s">
        <v>529</v>
      </c>
      <c r="D9" s="89">
        <v>2007</v>
      </c>
      <c r="G9" s="299"/>
      <c r="H9" s="299"/>
      <c r="I9" s="299"/>
      <c r="J9" s="299"/>
      <c r="K9" s="299"/>
      <c r="L9" s="299"/>
    </row>
    <row r="10" spans="3:12" ht="12.75">
      <c r="C10" s="89" t="s">
        <v>305</v>
      </c>
      <c r="D10" s="89">
        <v>2007</v>
      </c>
      <c r="G10" s="299"/>
      <c r="H10" s="299"/>
      <c r="I10" s="299"/>
      <c r="J10" s="299"/>
      <c r="K10" s="299"/>
      <c r="L10" s="299"/>
    </row>
    <row r="11" spans="3:12" ht="12.75">
      <c r="C11" s="89" t="s">
        <v>292</v>
      </c>
      <c r="D11" s="89">
        <v>2007</v>
      </c>
      <c r="G11" s="299"/>
      <c r="H11" s="299"/>
      <c r="I11" s="299"/>
      <c r="J11" s="299"/>
      <c r="K11" s="299"/>
      <c r="L11" s="299"/>
    </row>
    <row r="12" spans="3:12" ht="12.75">
      <c r="C12" s="89" t="s">
        <v>306</v>
      </c>
      <c r="D12" s="89">
        <v>2007</v>
      </c>
      <c r="G12" s="299"/>
      <c r="H12" s="299"/>
      <c r="I12" s="299"/>
      <c r="J12" s="299"/>
      <c r="K12" s="299"/>
      <c r="L12" s="299"/>
    </row>
    <row r="13" spans="3:12" ht="12.75">
      <c r="C13" s="89" t="s">
        <v>293</v>
      </c>
      <c r="D13" s="89">
        <v>2007</v>
      </c>
      <c r="G13" s="299"/>
      <c r="H13" s="299"/>
      <c r="I13" s="299"/>
      <c r="J13" s="299"/>
      <c r="K13" s="299"/>
      <c r="L13" s="299"/>
    </row>
    <row r="14" spans="3:12" ht="12.75">
      <c r="C14" s="89" t="s">
        <v>294</v>
      </c>
      <c r="D14" s="89">
        <v>2009</v>
      </c>
      <c r="G14" s="299"/>
      <c r="H14" s="299"/>
      <c r="I14" s="299"/>
      <c r="J14" s="299"/>
      <c r="K14" s="299"/>
      <c r="L14" s="299"/>
    </row>
    <row r="15" spans="3:12" ht="12.75">
      <c r="C15" s="89" t="s">
        <v>295</v>
      </c>
      <c r="D15" s="89">
        <v>2010</v>
      </c>
      <c r="G15" s="299"/>
      <c r="H15" s="299"/>
      <c r="I15" s="299"/>
      <c r="J15" s="299"/>
      <c r="K15" s="299"/>
      <c r="L15" s="299"/>
    </row>
    <row r="16" spans="3:12" ht="12.75">
      <c r="C16" s="89" t="s">
        <v>296</v>
      </c>
      <c r="D16" s="89">
        <v>2007</v>
      </c>
      <c r="G16" s="299"/>
      <c r="H16" s="299"/>
      <c r="I16" s="299"/>
      <c r="J16" s="299"/>
      <c r="K16" s="299"/>
      <c r="L16" s="299"/>
    </row>
    <row r="17" spans="3:12" ht="12.75">
      <c r="C17" s="89" t="s">
        <v>274</v>
      </c>
      <c r="D17" s="89">
        <v>2007</v>
      </c>
      <c r="G17" s="299"/>
      <c r="H17" s="299"/>
      <c r="I17" s="299"/>
      <c r="J17" s="299"/>
      <c r="K17" s="299"/>
      <c r="L17" s="299"/>
    </row>
    <row r="18" spans="7:12" ht="12.75">
      <c r="G18" s="299"/>
      <c r="H18" s="299"/>
      <c r="I18" s="299"/>
      <c r="J18" s="299"/>
      <c r="K18" s="299"/>
      <c r="L18" s="299"/>
    </row>
    <row r="19" spans="3:12" ht="12.75">
      <c r="C19" s="90" t="s">
        <v>297</v>
      </c>
      <c r="G19" s="299"/>
      <c r="H19" s="299"/>
      <c r="I19" s="299"/>
      <c r="J19" s="299"/>
      <c r="K19" s="299"/>
      <c r="L19" s="299"/>
    </row>
    <row r="20" spans="3:12" ht="12.75">
      <c r="C20" s="89" t="s">
        <v>307</v>
      </c>
      <c r="D20" s="89">
        <v>2000</v>
      </c>
      <c r="G20" s="299"/>
      <c r="H20" s="299"/>
      <c r="I20" s="299"/>
      <c r="J20" s="299"/>
      <c r="K20" s="299"/>
      <c r="L20" s="299"/>
    </row>
    <row r="21" spans="3:4" ht="12.75">
      <c r="C21" s="89" t="s">
        <v>324</v>
      </c>
      <c r="D21" s="40">
        <v>2000</v>
      </c>
    </row>
    <row r="22" spans="3:4" ht="12.75">
      <c r="C22" s="40" t="s">
        <v>524</v>
      </c>
      <c r="D22" s="40">
        <v>2004</v>
      </c>
    </row>
    <row r="23" spans="3:4" ht="12.75">
      <c r="C23" s="89" t="s">
        <v>308</v>
      </c>
      <c r="D23" s="89">
        <v>1997</v>
      </c>
    </row>
    <row r="24" spans="3:4" ht="12.75">
      <c r="C24" s="89" t="s">
        <v>298</v>
      </c>
      <c r="D24" s="89">
        <v>1997</v>
      </c>
    </row>
    <row r="25" spans="3:4" ht="12.75">
      <c r="C25" s="89" t="s">
        <v>326</v>
      </c>
      <c r="D25" s="89">
        <v>2006</v>
      </c>
    </row>
    <row r="26" spans="3:4" ht="12.75">
      <c r="C26" s="89" t="s">
        <v>396</v>
      </c>
      <c r="D26" s="89">
        <v>2006</v>
      </c>
    </row>
    <row r="27" spans="3:4" ht="12.75">
      <c r="C27" s="89" t="s">
        <v>393</v>
      </c>
      <c r="D27" s="89">
        <v>2006</v>
      </c>
    </row>
    <row r="28" spans="3:4" ht="12.75">
      <c r="C28" s="89" t="s">
        <v>394</v>
      </c>
      <c r="D28" s="89">
        <v>2006</v>
      </c>
    </row>
    <row r="29" spans="3:4" ht="12.75">
      <c r="C29" s="89" t="s">
        <v>392</v>
      </c>
      <c r="D29" s="89">
        <v>2006</v>
      </c>
    </row>
    <row r="30" spans="3:4" ht="12.75">
      <c r="C30" s="89" t="s">
        <v>395</v>
      </c>
      <c r="D30" s="89">
        <v>2006</v>
      </c>
    </row>
    <row r="31" spans="3:4" ht="12.75">
      <c r="C31" s="89" t="s">
        <v>328</v>
      </c>
      <c r="D31" s="89">
        <v>2006</v>
      </c>
    </row>
    <row r="32" spans="3:4" ht="12.75">
      <c r="C32" s="89" t="s">
        <v>230</v>
      </c>
      <c r="D32" s="89">
        <v>1999</v>
      </c>
    </row>
    <row r="33" spans="3:4" ht="12.75">
      <c r="C33" s="89" t="s">
        <v>299</v>
      </c>
      <c r="D33" s="89">
        <v>1999</v>
      </c>
    </row>
    <row r="34" spans="3:4" ht="12.75">
      <c r="C34" s="40" t="s">
        <v>327</v>
      </c>
      <c r="D34" s="89">
        <v>1998</v>
      </c>
    </row>
    <row r="35" spans="3:4" ht="12.75">
      <c r="C35" s="89" t="s">
        <v>300</v>
      </c>
      <c r="D35" s="89">
        <v>1998</v>
      </c>
    </row>
    <row r="37" ht="12.75">
      <c r="C37" s="90" t="s">
        <v>301</v>
      </c>
    </row>
    <row r="38" spans="3:4" ht="12.75">
      <c r="C38" s="40" t="s">
        <v>525</v>
      </c>
      <c r="D38" s="40">
        <v>2007</v>
      </c>
    </row>
    <row r="39" spans="3:4" ht="12.75">
      <c r="C39" s="40" t="s">
        <v>526</v>
      </c>
      <c r="D39" s="89">
        <v>2001</v>
      </c>
    </row>
    <row r="40" spans="3:6" ht="12.75">
      <c r="C40" s="89" t="s">
        <v>266</v>
      </c>
      <c r="D40" s="40">
        <v>2004</v>
      </c>
      <c r="F40" s="40"/>
    </row>
    <row r="41" spans="3:4" ht="12.75">
      <c r="C41" s="89" t="s">
        <v>354</v>
      </c>
      <c r="D41" s="40">
        <v>2015</v>
      </c>
    </row>
    <row r="43" ht="12.75">
      <c r="C43" s="90" t="s">
        <v>527</v>
      </c>
    </row>
    <row r="44" spans="3:4" ht="12.75">
      <c r="C44" s="158" t="s">
        <v>528</v>
      </c>
      <c r="D44" s="89">
        <v>2006</v>
      </c>
    </row>
    <row r="45" ht="14.25" customHeight="1"/>
    <row r="46" ht="12.75">
      <c r="C46" s="90"/>
    </row>
    <row r="47" ht="12.75">
      <c r="C47" s="17"/>
    </row>
    <row r="48" ht="12.75">
      <c r="C48" s="17"/>
    </row>
  </sheetData>
  <sheetProtection/>
  <mergeCells count="1">
    <mergeCell ref="G6:L20"/>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A1:AG52"/>
  <sheetViews>
    <sheetView zoomScaleSheetLayoutView="100" zoomScalePageLayoutView="0" workbookViewId="0" topLeftCell="A1">
      <selection activeCell="A1" sqref="A1"/>
    </sheetView>
  </sheetViews>
  <sheetFormatPr defaultColWidth="9.140625" defaultRowHeight="12.75"/>
  <cols>
    <col min="1" max="1" width="12.28125" style="240" bestFit="1" customWidth="1"/>
    <col min="2" max="2" width="12.140625" style="40" customWidth="1"/>
    <col min="3" max="3" width="11.140625" style="40" customWidth="1"/>
    <col min="4" max="4" width="17.140625" style="40" hidden="1" customWidth="1"/>
    <col min="5" max="5" width="47.00390625" style="40" customWidth="1"/>
    <col min="6" max="6" width="11.57421875" style="40" hidden="1" customWidth="1"/>
    <col min="7" max="8" width="12.00390625" style="40" hidden="1" customWidth="1"/>
    <col min="9" max="9" width="11.8515625" style="40" hidden="1" customWidth="1"/>
    <col min="10" max="10" width="11.7109375" style="40" hidden="1" customWidth="1"/>
    <col min="11" max="11" width="11.57421875" style="40" hidden="1" customWidth="1"/>
    <col min="12" max="12" width="11.7109375" style="40" hidden="1" customWidth="1"/>
    <col min="13" max="14" width="10.57421875" style="40" hidden="1" customWidth="1"/>
    <col min="15" max="17" width="11.140625" style="40" hidden="1" customWidth="1"/>
    <col min="18" max="18" width="9.8515625" style="40" hidden="1" customWidth="1"/>
    <col min="19" max="23" width="0" style="40" hidden="1" customWidth="1"/>
    <col min="24"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A1</f>
        <v>42735</v>
      </c>
    </row>
    <row r="3" spans="1:5" ht="12.75">
      <c r="A3" s="250"/>
      <c r="B3" s="97" t="s">
        <v>144</v>
      </c>
      <c r="C3" s="98" t="s">
        <v>145</v>
      </c>
      <c r="D3" s="102" t="s">
        <v>146</v>
      </c>
      <c r="E3" s="102" t="s">
        <v>147</v>
      </c>
    </row>
    <row r="4" spans="1:10" ht="12.75">
      <c r="A4" s="240" t="s">
        <v>34</v>
      </c>
      <c r="B4" s="97" t="s">
        <v>148</v>
      </c>
      <c r="D4" s="34" t="s">
        <v>139</v>
      </c>
      <c r="E4" s="34" t="s">
        <v>139</v>
      </c>
      <c r="J4" s="17"/>
    </row>
    <row r="5" spans="2:25" ht="12.75">
      <c r="B5" s="97" t="s">
        <v>150</v>
      </c>
      <c r="C5" s="103" t="s">
        <v>284</v>
      </c>
      <c r="D5" s="34"/>
      <c r="E5" s="34"/>
      <c r="N5" s="168"/>
      <c r="O5" s="168"/>
      <c r="P5" s="168"/>
      <c r="Q5" s="168"/>
      <c r="R5" s="168"/>
      <c r="U5" s="173"/>
      <c r="V5" s="173"/>
      <c r="W5" s="173"/>
      <c r="X5" s="173"/>
      <c r="Y5" s="173"/>
    </row>
    <row r="6" spans="1:33" s="41" customFormat="1" ht="12.75">
      <c r="A6" s="245" t="s">
        <v>35</v>
      </c>
      <c r="B6" s="113" t="s">
        <v>149</v>
      </c>
      <c r="C6" s="103" t="s">
        <v>284</v>
      </c>
      <c r="D6" s="103"/>
      <c r="E6" s="154" t="s">
        <v>32</v>
      </c>
      <c r="F6" s="155" t="s">
        <v>388</v>
      </c>
      <c r="G6" s="155" t="s">
        <v>389</v>
      </c>
      <c r="H6" s="155" t="s">
        <v>390</v>
      </c>
      <c r="I6" s="155" t="s">
        <v>391</v>
      </c>
      <c r="J6" s="87" t="s">
        <v>407</v>
      </c>
      <c r="K6" s="87" t="s">
        <v>410</v>
      </c>
      <c r="L6" s="87" t="s">
        <v>412</v>
      </c>
      <c r="M6" s="87" t="s">
        <v>408</v>
      </c>
      <c r="N6" s="87" t="s">
        <v>405</v>
      </c>
      <c r="O6" s="87" t="s">
        <v>409</v>
      </c>
      <c r="P6" s="87" t="s">
        <v>411</v>
      </c>
      <c r="Q6" s="87" t="s">
        <v>414</v>
      </c>
      <c r="R6" s="87" t="s">
        <v>421</v>
      </c>
      <c r="S6" s="87" t="s">
        <v>429</v>
      </c>
      <c r="T6" s="87" t="s">
        <v>431</v>
      </c>
      <c r="U6" s="87" t="s">
        <v>432</v>
      </c>
      <c r="V6" s="87" t="s">
        <v>440</v>
      </c>
      <c r="W6" s="87" t="s">
        <v>441</v>
      </c>
      <c r="X6" s="87" t="s">
        <v>442</v>
      </c>
      <c r="Y6" s="87" t="s">
        <v>443</v>
      </c>
      <c r="Z6" s="87" t="s">
        <v>445</v>
      </c>
      <c r="AA6" s="87" t="s">
        <v>447</v>
      </c>
      <c r="AB6" s="87" t="s">
        <v>448</v>
      </c>
      <c r="AC6" s="87" t="s">
        <v>467</v>
      </c>
      <c r="AD6" s="87" t="s">
        <v>469</v>
      </c>
      <c r="AE6" s="87" t="s">
        <v>471</v>
      </c>
      <c r="AF6" s="87" t="s">
        <v>605</v>
      </c>
      <c r="AG6" s="87" t="s">
        <v>608</v>
      </c>
    </row>
    <row r="7" spans="1:5" s="33" customFormat="1" ht="12.75">
      <c r="A7" s="238" t="s">
        <v>571</v>
      </c>
      <c r="B7" s="238"/>
      <c r="C7" s="238"/>
      <c r="E7" s="33" t="s">
        <v>31</v>
      </c>
    </row>
    <row r="8" spans="1:5" ht="12.75">
      <c r="A8" s="243" t="s">
        <v>35</v>
      </c>
      <c r="B8" s="240"/>
      <c r="C8" s="240"/>
      <c r="E8" s="90" t="s">
        <v>40</v>
      </c>
    </row>
    <row r="9" spans="1:33" ht="12.75">
      <c r="A9" s="240" t="s">
        <v>36</v>
      </c>
      <c r="B9" s="240"/>
      <c r="C9" s="240"/>
      <c r="E9" s="116" t="s">
        <v>380</v>
      </c>
      <c r="F9" s="13">
        <v>27419</v>
      </c>
      <c r="G9" s="13">
        <v>27810</v>
      </c>
      <c r="H9" s="13">
        <v>27722</v>
      </c>
      <c r="I9" s="13">
        <v>27481</v>
      </c>
      <c r="J9" s="13">
        <v>20482</v>
      </c>
      <c r="K9" s="13">
        <v>21130</v>
      </c>
      <c r="L9" s="13">
        <v>26336</v>
      </c>
      <c r="M9" s="13">
        <v>24297</v>
      </c>
      <c r="N9" s="13">
        <v>22611</v>
      </c>
      <c r="O9" s="13">
        <v>22961</v>
      </c>
      <c r="P9" s="13">
        <v>22824</v>
      </c>
      <c r="Q9" s="13">
        <v>22800</v>
      </c>
      <c r="R9" s="13">
        <v>20802</v>
      </c>
      <c r="S9" s="13">
        <v>22406</v>
      </c>
      <c r="T9" s="13">
        <v>22856</v>
      </c>
      <c r="U9" s="9">
        <v>22777</v>
      </c>
      <c r="V9" s="9">
        <v>21455</v>
      </c>
      <c r="W9" s="9">
        <v>21329</v>
      </c>
      <c r="X9" s="9">
        <v>22348</v>
      </c>
      <c r="Y9" s="9">
        <v>22197</v>
      </c>
      <c r="Z9" s="9">
        <v>21788</v>
      </c>
      <c r="AA9" s="9">
        <v>21363</v>
      </c>
      <c r="AB9" s="9">
        <v>22494</v>
      </c>
      <c r="AC9" s="9">
        <v>21746</v>
      </c>
      <c r="AD9" s="9">
        <v>20999</v>
      </c>
      <c r="AE9" s="9">
        <v>21314</v>
      </c>
      <c r="AF9" s="9">
        <v>22814</v>
      </c>
      <c r="AG9" s="9">
        <v>21573</v>
      </c>
    </row>
    <row r="10" spans="1:33" ht="12.75">
      <c r="A10" s="240" t="s">
        <v>36</v>
      </c>
      <c r="B10" s="240"/>
      <c r="C10" s="240"/>
      <c r="E10" s="94" t="s">
        <v>381</v>
      </c>
      <c r="F10" s="9">
        <v>10503</v>
      </c>
      <c r="G10" s="9">
        <v>12350</v>
      </c>
      <c r="H10" s="9">
        <v>9203</v>
      </c>
      <c r="I10" s="9">
        <v>9072</v>
      </c>
      <c r="J10" s="9">
        <v>11626</v>
      </c>
      <c r="K10" s="9">
        <v>11343</v>
      </c>
      <c r="L10" s="9">
        <v>10992</v>
      </c>
      <c r="M10" s="9">
        <v>10391</v>
      </c>
      <c r="N10" s="9">
        <v>11828</v>
      </c>
      <c r="O10" s="9">
        <v>13553</v>
      </c>
      <c r="P10" s="9">
        <v>12681</v>
      </c>
      <c r="Q10" s="9">
        <v>12106</v>
      </c>
      <c r="R10" s="9">
        <v>14130</v>
      </c>
      <c r="S10" s="9">
        <v>14702</v>
      </c>
      <c r="T10" s="9">
        <v>13139</v>
      </c>
      <c r="U10" s="9">
        <v>12728</v>
      </c>
      <c r="V10" s="9">
        <v>13849</v>
      </c>
      <c r="W10" s="9">
        <v>14826</v>
      </c>
      <c r="X10" s="9">
        <v>16089</v>
      </c>
      <c r="Y10" s="9">
        <v>16450</v>
      </c>
      <c r="Z10" s="9">
        <v>18388</v>
      </c>
      <c r="AA10" s="9">
        <v>17611</v>
      </c>
      <c r="AB10" s="9">
        <v>17573</v>
      </c>
      <c r="AC10" s="9">
        <v>16601</v>
      </c>
      <c r="AD10" s="9">
        <v>17129</v>
      </c>
      <c r="AE10" s="9">
        <v>17358</v>
      </c>
      <c r="AF10" s="9">
        <v>15650</v>
      </c>
      <c r="AG10" s="9">
        <v>15163</v>
      </c>
    </row>
    <row r="11" spans="1:33" ht="12.75">
      <c r="A11" s="240" t="s">
        <v>36</v>
      </c>
      <c r="B11" s="240"/>
      <c r="C11" s="240"/>
      <c r="E11" s="116" t="s">
        <v>382</v>
      </c>
      <c r="F11" s="13">
        <v>6570</v>
      </c>
      <c r="G11" s="13">
        <v>7107</v>
      </c>
      <c r="H11" s="13">
        <v>6738</v>
      </c>
      <c r="I11" s="13">
        <v>7228</v>
      </c>
      <c r="J11" s="13">
        <v>9224</v>
      </c>
      <c r="K11" s="13">
        <v>10073</v>
      </c>
      <c r="L11" s="13">
        <v>9627</v>
      </c>
      <c r="M11" s="13">
        <v>14075</v>
      </c>
      <c r="N11" s="13">
        <v>13993</v>
      </c>
      <c r="O11" s="13">
        <v>13886</v>
      </c>
      <c r="P11" s="13">
        <v>13397</v>
      </c>
      <c r="Q11" s="13">
        <v>13337</v>
      </c>
      <c r="R11" s="13">
        <v>13889</v>
      </c>
      <c r="S11" s="13">
        <v>13710</v>
      </c>
      <c r="T11" s="13">
        <v>13015</v>
      </c>
      <c r="U11" s="9">
        <v>12875</v>
      </c>
      <c r="V11" s="9">
        <v>12982</v>
      </c>
      <c r="W11" s="9">
        <v>12860</v>
      </c>
      <c r="X11" s="9">
        <v>13171</v>
      </c>
      <c r="Y11" s="9">
        <v>14574</v>
      </c>
      <c r="Z11" s="9">
        <v>13926</v>
      </c>
      <c r="AA11" s="9">
        <v>12974</v>
      </c>
      <c r="AB11" s="9">
        <v>12089</v>
      </c>
      <c r="AC11" s="9">
        <v>11692</v>
      </c>
      <c r="AD11" s="9">
        <v>11214</v>
      </c>
      <c r="AE11" s="9">
        <v>12307</v>
      </c>
      <c r="AF11" s="9">
        <v>12348</v>
      </c>
      <c r="AG11" s="9">
        <v>12364</v>
      </c>
    </row>
    <row r="12" spans="1:33" ht="12.75">
      <c r="A12" s="240" t="s">
        <v>36</v>
      </c>
      <c r="B12" s="240"/>
      <c r="C12" s="240"/>
      <c r="E12" s="94" t="s">
        <v>383</v>
      </c>
      <c r="F12" s="9">
        <v>3642</v>
      </c>
      <c r="G12" s="9">
        <v>3838</v>
      </c>
      <c r="H12" s="9">
        <v>3548</v>
      </c>
      <c r="I12" s="9">
        <v>3920</v>
      </c>
      <c r="J12" s="9">
        <v>4099</v>
      </c>
      <c r="K12" s="9">
        <v>4278</v>
      </c>
      <c r="L12" s="9">
        <v>4336</v>
      </c>
      <c r="M12" s="9">
        <v>4630</v>
      </c>
      <c r="N12" s="9">
        <v>4543</v>
      </c>
      <c r="O12" s="9">
        <v>4982</v>
      </c>
      <c r="P12" s="9">
        <v>4781</v>
      </c>
      <c r="Q12" s="9">
        <v>4933</v>
      </c>
      <c r="R12" s="9">
        <v>4888</v>
      </c>
      <c r="S12" s="9">
        <v>4918</v>
      </c>
      <c r="T12" s="9">
        <v>4925</v>
      </c>
      <c r="U12" s="9">
        <v>4776</v>
      </c>
      <c r="V12" s="9">
        <v>4816</v>
      </c>
      <c r="W12" s="9">
        <v>5051</v>
      </c>
      <c r="X12" s="9">
        <v>5370</v>
      </c>
      <c r="Y12" s="9">
        <v>5614</v>
      </c>
      <c r="Z12" s="9">
        <v>5945</v>
      </c>
      <c r="AA12" s="9">
        <v>5819</v>
      </c>
      <c r="AB12" s="9">
        <v>5261</v>
      </c>
      <c r="AC12" s="9">
        <v>5422</v>
      </c>
      <c r="AD12" s="9">
        <v>5327</v>
      </c>
      <c r="AE12" s="9">
        <v>5535</v>
      </c>
      <c r="AF12" s="9">
        <v>5730</v>
      </c>
      <c r="AG12" s="9">
        <v>5688</v>
      </c>
    </row>
    <row r="13" spans="1:33" ht="12.75">
      <c r="A13" s="240" t="s">
        <v>36</v>
      </c>
      <c r="B13" s="240"/>
      <c r="C13" s="240"/>
      <c r="E13" s="94" t="s">
        <v>379</v>
      </c>
      <c r="F13" s="9">
        <v>3842</v>
      </c>
      <c r="G13" s="9">
        <v>3972</v>
      </c>
      <c r="H13" s="9">
        <v>4365</v>
      </c>
      <c r="I13" s="9">
        <v>4057</v>
      </c>
      <c r="J13" s="9">
        <v>3740</v>
      </c>
      <c r="K13" s="9">
        <v>3764</v>
      </c>
      <c r="L13" s="9">
        <v>4261</v>
      </c>
      <c r="M13" s="9">
        <v>4792</v>
      </c>
      <c r="N13" s="9">
        <v>4278</v>
      </c>
      <c r="O13" s="9">
        <v>4356</v>
      </c>
      <c r="P13" s="9">
        <v>4593</v>
      </c>
      <c r="Q13" s="9">
        <v>4528</v>
      </c>
      <c r="R13" s="9">
        <v>4380</v>
      </c>
      <c r="S13" s="9">
        <v>4436</v>
      </c>
      <c r="T13" s="9">
        <v>4713</v>
      </c>
      <c r="U13" s="9">
        <v>4756</v>
      </c>
      <c r="V13" s="9">
        <v>4461</v>
      </c>
      <c r="W13" s="9">
        <v>4426</v>
      </c>
      <c r="X13" s="9">
        <v>4793</v>
      </c>
      <c r="Y13" s="9">
        <v>5144</v>
      </c>
      <c r="Z13" s="9">
        <v>5207</v>
      </c>
      <c r="AA13" s="9">
        <v>4866</v>
      </c>
      <c r="AB13" s="9">
        <v>4812</v>
      </c>
      <c r="AC13" s="9">
        <v>4551</v>
      </c>
      <c r="AD13" s="9">
        <v>4210</v>
      </c>
      <c r="AE13" s="9">
        <v>4194</v>
      </c>
      <c r="AF13" s="9">
        <v>4517</v>
      </c>
      <c r="AG13" s="9">
        <v>4181</v>
      </c>
    </row>
    <row r="14" spans="1:33" ht="12.75">
      <c r="A14" s="240" t="s">
        <v>36</v>
      </c>
      <c r="B14" s="240"/>
      <c r="C14" s="240"/>
      <c r="E14" s="94" t="s">
        <v>131</v>
      </c>
      <c r="F14" s="9">
        <v>2803</v>
      </c>
      <c r="G14" s="9">
        <v>2845</v>
      </c>
      <c r="H14" s="9">
        <v>2474</v>
      </c>
      <c r="I14" s="9">
        <v>2492</v>
      </c>
      <c r="J14" s="9">
        <v>2734</v>
      </c>
      <c r="K14" s="9">
        <v>2911</v>
      </c>
      <c r="L14" s="9">
        <v>2894</v>
      </c>
      <c r="M14" s="9">
        <v>2829</v>
      </c>
      <c r="N14" s="9">
        <v>2797</v>
      </c>
      <c r="O14" s="9">
        <v>2827</v>
      </c>
      <c r="P14" s="9">
        <v>2690</v>
      </c>
      <c r="Q14" s="9">
        <v>2664</v>
      </c>
      <c r="R14" s="9">
        <v>2603</v>
      </c>
      <c r="S14" s="9">
        <v>2725</v>
      </c>
      <c r="T14" s="9">
        <v>2692</v>
      </c>
      <c r="U14" s="9">
        <v>2720</v>
      </c>
      <c r="V14" s="9">
        <v>2743</v>
      </c>
      <c r="W14" s="9">
        <v>2956</v>
      </c>
      <c r="X14" s="9">
        <v>2915</v>
      </c>
      <c r="Y14" s="9">
        <v>2931</v>
      </c>
      <c r="Z14" s="9">
        <v>3050</v>
      </c>
      <c r="AA14" s="9">
        <v>3216</v>
      </c>
      <c r="AB14" s="9">
        <v>3165</v>
      </c>
      <c r="AC14" s="9">
        <v>3070</v>
      </c>
      <c r="AD14" s="9">
        <v>3233</v>
      </c>
      <c r="AE14" s="9">
        <v>3283</v>
      </c>
      <c r="AF14" s="9">
        <v>3334</v>
      </c>
      <c r="AG14" s="9">
        <v>3399</v>
      </c>
    </row>
    <row r="15" spans="1:33" ht="12.75">
      <c r="A15" s="240" t="s">
        <v>36</v>
      </c>
      <c r="B15" s="240"/>
      <c r="C15" s="240"/>
      <c r="E15" s="53" t="s">
        <v>93</v>
      </c>
      <c r="F15" s="9">
        <v>4360</v>
      </c>
      <c r="G15" s="9">
        <v>4608</v>
      </c>
      <c r="H15" s="9">
        <v>4915</v>
      </c>
      <c r="I15" s="9">
        <v>6466</v>
      </c>
      <c r="J15" s="9">
        <v>6994</v>
      </c>
      <c r="K15" s="9">
        <v>7571</v>
      </c>
      <c r="L15" s="9">
        <v>7144</v>
      </c>
      <c r="M15" s="9">
        <v>7531</v>
      </c>
      <c r="N15" s="9">
        <v>6505</v>
      </c>
      <c r="O15" s="9">
        <v>6401</v>
      </c>
      <c r="P15" s="9">
        <v>6599</v>
      </c>
      <c r="Q15" s="9">
        <v>7137</v>
      </c>
      <c r="R15" s="9">
        <v>7375</v>
      </c>
      <c r="S15" s="9">
        <v>7056</v>
      </c>
      <c r="T15" s="9">
        <v>7044</v>
      </c>
      <c r="U15" s="9">
        <v>7692</v>
      </c>
      <c r="V15" s="9">
        <v>7686</v>
      </c>
      <c r="W15" s="9">
        <v>7662</v>
      </c>
      <c r="X15" s="9">
        <v>7683</v>
      </c>
      <c r="Y15" s="9">
        <v>8544</v>
      </c>
      <c r="Z15" s="9">
        <v>9355</v>
      </c>
      <c r="AA15" s="9">
        <v>8695</v>
      </c>
      <c r="AB15" s="9">
        <v>8538</v>
      </c>
      <c r="AC15" s="9">
        <v>8793</v>
      </c>
      <c r="AD15" s="9">
        <v>9057</v>
      </c>
      <c r="AE15" s="9">
        <v>8963</v>
      </c>
      <c r="AF15" s="9">
        <v>8890</v>
      </c>
      <c r="AG15" s="9">
        <v>9124</v>
      </c>
    </row>
    <row r="16" spans="1:33" ht="12.75">
      <c r="A16" s="240" t="s">
        <v>37</v>
      </c>
      <c r="B16" s="240"/>
      <c r="C16" s="240"/>
      <c r="E16" s="77" t="s">
        <v>134</v>
      </c>
      <c r="F16" s="1">
        <v>59139</v>
      </c>
      <c r="G16" s="1">
        <v>62530</v>
      </c>
      <c r="H16" s="1">
        <v>58965</v>
      </c>
      <c r="I16" s="1">
        <v>60716</v>
      </c>
      <c r="J16" s="1">
        <v>58899</v>
      </c>
      <c r="K16" s="1">
        <v>61070</v>
      </c>
      <c r="L16" s="1">
        <v>65590</v>
      </c>
      <c r="M16" s="1">
        <v>68545</v>
      </c>
      <c r="N16" s="1">
        <v>66555</v>
      </c>
      <c r="O16" s="1">
        <v>68966</v>
      </c>
      <c r="P16" s="1">
        <v>67565</v>
      </c>
      <c r="Q16" s="1">
        <v>67505</v>
      </c>
      <c r="R16" s="1">
        <v>68067</v>
      </c>
      <c r="S16" s="1">
        <v>69953</v>
      </c>
      <c r="T16" s="1">
        <v>68384</v>
      </c>
      <c r="U16" s="1">
        <v>68324</v>
      </c>
      <c r="V16" s="1">
        <v>67992</v>
      </c>
      <c r="W16" s="1">
        <v>69110</v>
      </c>
      <c r="X16" s="1">
        <v>72369</v>
      </c>
      <c r="Y16" s="1">
        <v>75454</v>
      </c>
      <c r="Z16" s="1">
        <v>77659</v>
      </c>
      <c r="AA16" s="1">
        <v>74544</v>
      </c>
      <c r="AB16" s="1">
        <v>73932</v>
      </c>
      <c r="AC16" s="1">
        <v>71875</v>
      </c>
      <c r="AD16" s="1">
        <v>71169</v>
      </c>
      <c r="AE16" s="1">
        <v>72954</v>
      </c>
      <c r="AF16" s="1">
        <v>73283</v>
      </c>
      <c r="AG16" s="1">
        <v>71492</v>
      </c>
    </row>
    <row r="17" spans="1:33" ht="12.75">
      <c r="A17" s="240" t="s">
        <v>36</v>
      </c>
      <c r="B17" s="240"/>
      <c r="C17" s="240"/>
      <c r="E17" s="53" t="s">
        <v>135</v>
      </c>
      <c r="F17" s="9">
        <v>12172</v>
      </c>
      <c r="G17" s="9">
        <v>12674</v>
      </c>
      <c r="H17" s="9">
        <v>13047</v>
      </c>
      <c r="I17" s="9">
        <v>12805</v>
      </c>
      <c r="J17" s="9">
        <v>10160</v>
      </c>
      <c r="K17" s="9">
        <v>11835</v>
      </c>
      <c r="L17" s="9">
        <v>11663</v>
      </c>
      <c r="M17" s="9">
        <v>7839</v>
      </c>
      <c r="N17" s="9">
        <v>9506</v>
      </c>
      <c r="O17" s="9">
        <v>9189</v>
      </c>
      <c r="P17" s="9">
        <v>7816</v>
      </c>
      <c r="Q17" s="9">
        <v>7403</v>
      </c>
      <c r="R17" s="9">
        <v>7740</v>
      </c>
      <c r="S17" s="9">
        <v>7313</v>
      </c>
      <c r="T17" s="9">
        <v>5523</v>
      </c>
      <c r="U17" s="9">
        <v>7232</v>
      </c>
      <c r="V17" s="9">
        <v>6492</v>
      </c>
      <c r="W17" s="9">
        <v>6991</v>
      </c>
      <c r="X17" s="9">
        <v>8257</v>
      </c>
      <c r="Y17" s="9">
        <v>9835</v>
      </c>
      <c r="Z17" s="9">
        <v>8764</v>
      </c>
      <c r="AA17" s="9">
        <v>8759</v>
      </c>
      <c r="AB17" s="9">
        <v>11087</v>
      </c>
      <c r="AC17" s="9">
        <v>11199</v>
      </c>
      <c r="AD17" s="9">
        <v>9894</v>
      </c>
      <c r="AE17" s="9">
        <v>8988</v>
      </c>
      <c r="AF17" s="9">
        <v>11634</v>
      </c>
      <c r="AG17" s="9">
        <v>14011</v>
      </c>
    </row>
    <row r="18" spans="1:33" ht="12.75">
      <c r="A18" s="240" t="s">
        <v>36</v>
      </c>
      <c r="B18" s="240"/>
      <c r="C18" s="240"/>
      <c r="E18" s="94" t="s">
        <v>259</v>
      </c>
      <c r="F18" s="9" t="s">
        <v>30</v>
      </c>
      <c r="G18" s="9" t="s">
        <v>30</v>
      </c>
      <c r="H18" s="9" t="s">
        <v>30</v>
      </c>
      <c r="I18" s="9" t="s">
        <v>30</v>
      </c>
      <c r="J18" s="9" t="s">
        <v>30</v>
      </c>
      <c r="K18" s="9" t="s">
        <v>30</v>
      </c>
      <c r="L18" s="9" t="s">
        <v>30</v>
      </c>
      <c r="M18" s="9" t="s">
        <v>30</v>
      </c>
      <c r="N18" s="9" t="s">
        <v>30</v>
      </c>
      <c r="O18" s="9" t="s">
        <v>30</v>
      </c>
      <c r="P18" s="9" t="s">
        <v>30</v>
      </c>
      <c r="Q18" s="9" t="s">
        <v>30</v>
      </c>
      <c r="R18" s="9" t="s">
        <v>30</v>
      </c>
      <c r="S18" s="9" t="s">
        <v>30</v>
      </c>
      <c r="T18" s="9" t="s">
        <v>30</v>
      </c>
      <c r="U18" s="9" t="s">
        <v>30</v>
      </c>
      <c r="V18" s="9" t="s">
        <v>30</v>
      </c>
      <c r="W18" s="9" t="s">
        <v>30</v>
      </c>
      <c r="X18" s="9" t="s">
        <v>30</v>
      </c>
      <c r="Y18" s="9" t="s">
        <v>30</v>
      </c>
      <c r="Z18" s="9" t="s">
        <v>30</v>
      </c>
      <c r="AA18" s="9" t="s">
        <v>30</v>
      </c>
      <c r="AB18" s="9" t="s">
        <v>30</v>
      </c>
      <c r="AC18" s="9" t="s">
        <v>30</v>
      </c>
      <c r="AD18" s="9" t="s">
        <v>30</v>
      </c>
      <c r="AE18" s="9" t="s">
        <v>30</v>
      </c>
      <c r="AF18" s="9" t="s">
        <v>30</v>
      </c>
      <c r="AG18" s="9" t="s">
        <v>30</v>
      </c>
    </row>
    <row r="19" spans="1:33" ht="12.75">
      <c r="A19" s="240" t="s">
        <v>36</v>
      </c>
      <c r="B19" s="240"/>
      <c r="C19" s="240"/>
      <c r="E19" s="116" t="s">
        <v>418</v>
      </c>
      <c r="F19" s="9"/>
      <c r="G19" s="9"/>
      <c r="H19" s="9"/>
      <c r="I19" s="9"/>
      <c r="J19" s="9"/>
      <c r="K19" s="9"/>
      <c r="L19" s="9"/>
      <c r="M19" s="9"/>
      <c r="N19" s="9">
        <v>471</v>
      </c>
      <c r="O19" s="9">
        <v>544</v>
      </c>
      <c r="P19" s="9">
        <v>376</v>
      </c>
      <c r="Q19" s="9">
        <v>286</v>
      </c>
      <c r="R19" s="9">
        <v>284</v>
      </c>
      <c r="S19" s="9">
        <v>559</v>
      </c>
      <c r="T19" s="9">
        <v>335</v>
      </c>
      <c r="U19" s="9">
        <v>445</v>
      </c>
      <c r="V19" s="9">
        <v>451</v>
      </c>
      <c r="W19" s="9">
        <v>485</v>
      </c>
      <c r="X19" s="9">
        <v>522</v>
      </c>
      <c r="Y19" s="9">
        <v>399</v>
      </c>
      <c r="Z19" s="9">
        <v>450</v>
      </c>
      <c r="AA19" s="9">
        <v>514</v>
      </c>
      <c r="AB19" s="9">
        <v>491</v>
      </c>
      <c r="AC19" s="9">
        <v>397</v>
      </c>
      <c r="AD19" s="9">
        <v>384</v>
      </c>
      <c r="AE19" s="9">
        <v>408</v>
      </c>
      <c r="AF19" s="9">
        <v>307</v>
      </c>
      <c r="AG19" s="9">
        <v>345</v>
      </c>
    </row>
    <row r="20" spans="1:33" ht="12.75">
      <c r="A20" s="240" t="s">
        <v>36</v>
      </c>
      <c r="B20" s="240"/>
      <c r="C20" s="240"/>
      <c r="E20" s="116" t="s">
        <v>364</v>
      </c>
      <c r="F20" s="9" t="s">
        <v>30</v>
      </c>
      <c r="G20" s="9" t="s">
        <v>30</v>
      </c>
      <c r="H20" s="9" t="s">
        <v>30</v>
      </c>
      <c r="I20" s="9" t="s">
        <v>30</v>
      </c>
      <c r="J20" s="9" t="s">
        <v>30</v>
      </c>
      <c r="K20" s="9" t="s">
        <v>30</v>
      </c>
      <c r="L20" s="9" t="s">
        <v>30</v>
      </c>
      <c r="M20" s="9" t="s">
        <v>30</v>
      </c>
      <c r="N20" s="9" t="s">
        <v>30</v>
      </c>
      <c r="O20" s="9" t="s">
        <v>30</v>
      </c>
      <c r="P20" s="9" t="s">
        <v>30</v>
      </c>
      <c r="Q20" s="9" t="s">
        <v>30</v>
      </c>
      <c r="R20" s="9" t="s">
        <v>30</v>
      </c>
      <c r="S20" s="9" t="s">
        <v>30</v>
      </c>
      <c r="T20" s="9" t="s">
        <v>30</v>
      </c>
      <c r="U20" s="9" t="s">
        <v>30</v>
      </c>
      <c r="V20" s="9" t="s">
        <v>30</v>
      </c>
      <c r="W20" s="9" t="s">
        <v>30</v>
      </c>
      <c r="X20" s="9" t="s">
        <v>30</v>
      </c>
      <c r="Y20" s="9" t="s">
        <v>30</v>
      </c>
      <c r="Z20" s="9" t="s">
        <v>30</v>
      </c>
      <c r="AA20" s="9" t="s">
        <v>30</v>
      </c>
      <c r="AB20" s="9" t="s">
        <v>30</v>
      </c>
      <c r="AC20" s="9" t="s">
        <v>30</v>
      </c>
      <c r="AD20" s="9" t="s">
        <v>30</v>
      </c>
      <c r="AE20" s="9" t="s">
        <v>30</v>
      </c>
      <c r="AF20" s="9" t="s">
        <v>30</v>
      </c>
      <c r="AG20" s="9" t="s">
        <v>30</v>
      </c>
    </row>
    <row r="21" spans="1:33" ht="12.75">
      <c r="A21" s="240" t="s">
        <v>36</v>
      </c>
      <c r="B21" s="240"/>
      <c r="C21" s="240"/>
      <c r="E21" s="53" t="s">
        <v>137</v>
      </c>
      <c r="F21" s="9" t="s">
        <v>30</v>
      </c>
      <c r="G21" s="9" t="s">
        <v>30</v>
      </c>
      <c r="H21" s="9" t="s">
        <v>30</v>
      </c>
      <c r="I21" s="9" t="s">
        <v>30</v>
      </c>
      <c r="J21" s="9" t="s">
        <v>30</v>
      </c>
      <c r="K21" s="9" t="s">
        <v>30</v>
      </c>
      <c r="L21" s="9" t="s">
        <v>30</v>
      </c>
      <c r="M21" s="9" t="s">
        <v>30</v>
      </c>
      <c r="N21" s="9" t="s">
        <v>30</v>
      </c>
      <c r="O21" s="9" t="s">
        <v>30</v>
      </c>
      <c r="P21" s="9" t="s">
        <v>30</v>
      </c>
      <c r="Q21" s="9" t="s">
        <v>30</v>
      </c>
      <c r="R21" s="9" t="s">
        <v>30</v>
      </c>
      <c r="S21" s="9" t="s">
        <v>30</v>
      </c>
      <c r="T21" s="9" t="s">
        <v>30</v>
      </c>
      <c r="U21" s="9" t="s">
        <v>30</v>
      </c>
      <c r="V21" s="9" t="s">
        <v>30</v>
      </c>
      <c r="W21" s="9" t="s">
        <v>30</v>
      </c>
      <c r="X21" s="9" t="s">
        <v>30</v>
      </c>
      <c r="Y21" s="9" t="s">
        <v>30</v>
      </c>
      <c r="Z21" s="9" t="s">
        <v>30</v>
      </c>
      <c r="AA21" s="9" t="s">
        <v>30</v>
      </c>
      <c r="AB21" s="9" t="s">
        <v>30</v>
      </c>
      <c r="AC21" s="9" t="s">
        <v>30</v>
      </c>
      <c r="AD21" s="9" t="s">
        <v>30</v>
      </c>
      <c r="AE21" s="9" t="s">
        <v>30</v>
      </c>
      <c r="AF21" s="9" t="s">
        <v>30</v>
      </c>
      <c r="AG21" s="9" t="s">
        <v>30</v>
      </c>
    </row>
    <row r="22" spans="1:33" ht="12.75">
      <c r="A22" s="240" t="s">
        <v>37</v>
      </c>
      <c r="B22" s="240"/>
      <c r="C22" s="240"/>
      <c r="E22" s="62" t="s">
        <v>138</v>
      </c>
      <c r="F22" s="14">
        <v>71311</v>
      </c>
      <c r="G22" s="14">
        <v>75204</v>
      </c>
      <c r="H22" s="14">
        <v>72012</v>
      </c>
      <c r="I22" s="14">
        <v>73521</v>
      </c>
      <c r="J22" s="14">
        <v>69059</v>
      </c>
      <c r="K22" s="14">
        <v>72905</v>
      </c>
      <c r="L22" s="14">
        <v>77253</v>
      </c>
      <c r="M22" s="14">
        <v>76384</v>
      </c>
      <c r="N22" s="14">
        <v>76532</v>
      </c>
      <c r="O22" s="14">
        <v>78699</v>
      </c>
      <c r="P22" s="14">
        <v>75757</v>
      </c>
      <c r="Q22" s="14">
        <v>75194</v>
      </c>
      <c r="R22" s="14">
        <v>76091</v>
      </c>
      <c r="S22" s="14">
        <v>77825</v>
      </c>
      <c r="T22" s="14">
        <v>74242</v>
      </c>
      <c r="U22" s="14">
        <v>76001</v>
      </c>
      <c r="V22" s="14">
        <v>74935</v>
      </c>
      <c r="W22" s="14">
        <v>76586</v>
      </c>
      <c r="X22" s="14">
        <v>81148</v>
      </c>
      <c r="Y22" s="14">
        <v>85688</v>
      </c>
      <c r="Z22" s="14">
        <v>86873</v>
      </c>
      <c r="AA22" s="14">
        <v>83817</v>
      </c>
      <c r="AB22" s="14">
        <v>85510</v>
      </c>
      <c r="AC22" s="14">
        <v>83471</v>
      </c>
      <c r="AD22" s="14">
        <v>81447</v>
      </c>
      <c r="AE22" s="14">
        <v>82350</v>
      </c>
      <c r="AF22" s="14">
        <v>85224</v>
      </c>
      <c r="AG22" s="14">
        <v>85848</v>
      </c>
    </row>
    <row r="23" spans="1:33" ht="12.75">
      <c r="A23" s="240" t="s">
        <v>38</v>
      </c>
      <c r="B23" s="240"/>
      <c r="C23" s="240"/>
      <c r="E23" s="77"/>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2.75">
      <c r="A24" s="243" t="s">
        <v>35</v>
      </c>
      <c r="B24" s="240"/>
      <c r="C24" s="240"/>
      <c r="E24" s="90" t="s">
        <v>58</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ht="12.75">
      <c r="A25" s="240" t="s">
        <v>36</v>
      </c>
      <c r="B25" s="240"/>
      <c r="C25" s="240"/>
      <c r="E25" s="116" t="s">
        <v>380</v>
      </c>
      <c r="F25" s="9">
        <v>19657</v>
      </c>
      <c r="G25" s="9">
        <v>20550</v>
      </c>
      <c r="H25" s="9">
        <v>20423</v>
      </c>
      <c r="I25" s="9">
        <v>20668</v>
      </c>
      <c r="J25" s="9">
        <v>13006</v>
      </c>
      <c r="K25" s="9">
        <v>12981</v>
      </c>
      <c r="L25" s="9">
        <v>14933</v>
      </c>
      <c r="M25" s="9">
        <v>14847</v>
      </c>
      <c r="N25" s="9">
        <v>13055</v>
      </c>
      <c r="O25" s="9">
        <v>13255</v>
      </c>
      <c r="P25" s="9">
        <v>13359</v>
      </c>
      <c r="Q25" s="9">
        <v>14067</v>
      </c>
      <c r="R25" s="9">
        <v>11478</v>
      </c>
      <c r="S25" s="9">
        <v>13086</v>
      </c>
      <c r="T25" s="9">
        <v>13689</v>
      </c>
      <c r="U25" s="9">
        <v>16195</v>
      </c>
      <c r="V25" s="9">
        <v>14658</v>
      </c>
      <c r="W25" s="9">
        <v>16262</v>
      </c>
      <c r="X25" s="9">
        <v>17234</v>
      </c>
      <c r="Y25" s="9">
        <v>17857</v>
      </c>
      <c r="Z25" s="9">
        <v>16589</v>
      </c>
      <c r="AA25" s="9">
        <v>16355</v>
      </c>
      <c r="AB25" s="9">
        <v>18473</v>
      </c>
      <c r="AC25" s="9">
        <v>19326</v>
      </c>
      <c r="AD25" s="9">
        <v>18015</v>
      </c>
      <c r="AE25" s="9">
        <v>18098</v>
      </c>
      <c r="AF25" s="9">
        <v>19751</v>
      </c>
      <c r="AG25" s="9">
        <v>20713</v>
      </c>
    </row>
    <row r="26" spans="1:33" ht="12.75">
      <c r="A26" s="240" t="s">
        <v>36</v>
      </c>
      <c r="B26" s="240"/>
      <c r="C26" s="240"/>
      <c r="E26" s="94" t="s">
        <v>381</v>
      </c>
      <c r="F26" s="9">
        <v>3255</v>
      </c>
      <c r="G26" s="9">
        <v>5790</v>
      </c>
      <c r="H26" s="9">
        <v>3662</v>
      </c>
      <c r="I26" s="9">
        <v>2060</v>
      </c>
      <c r="J26" s="9">
        <v>5399</v>
      </c>
      <c r="K26" s="9">
        <v>6804</v>
      </c>
      <c r="L26" s="9">
        <v>6914</v>
      </c>
      <c r="M26" s="9">
        <v>5075</v>
      </c>
      <c r="N26" s="9">
        <v>7161</v>
      </c>
      <c r="O26" s="9">
        <v>10322</v>
      </c>
      <c r="P26" s="9">
        <v>8695</v>
      </c>
      <c r="Q26" s="9">
        <v>7293</v>
      </c>
      <c r="R26" s="9">
        <v>8269</v>
      </c>
      <c r="S26" s="9">
        <v>10021</v>
      </c>
      <c r="T26" s="9">
        <v>8742</v>
      </c>
      <c r="U26" s="9">
        <v>8047</v>
      </c>
      <c r="V26" s="9">
        <v>8900</v>
      </c>
      <c r="W26" s="9">
        <v>10678</v>
      </c>
      <c r="X26" s="9">
        <v>11085</v>
      </c>
      <c r="Y26" s="9">
        <v>10234</v>
      </c>
      <c r="Z26" s="9">
        <v>11558</v>
      </c>
      <c r="AA26" s="9">
        <v>12960</v>
      </c>
      <c r="AB26" s="9">
        <v>13558</v>
      </c>
      <c r="AC26" s="9">
        <v>11747</v>
      </c>
      <c r="AD26" s="9">
        <v>12259</v>
      </c>
      <c r="AE26" s="9">
        <v>14449</v>
      </c>
      <c r="AF26" s="9">
        <v>13350</v>
      </c>
      <c r="AG26" s="9">
        <v>12463</v>
      </c>
    </row>
    <row r="27" spans="1:33" ht="12.75">
      <c r="A27" s="240" t="s">
        <v>36</v>
      </c>
      <c r="B27" s="240"/>
      <c r="C27" s="240"/>
      <c r="E27" s="116" t="s">
        <v>382</v>
      </c>
      <c r="F27" s="9">
        <v>3479</v>
      </c>
      <c r="G27" s="9">
        <v>3961</v>
      </c>
      <c r="H27" s="9">
        <v>3290</v>
      </c>
      <c r="I27" s="9">
        <v>4082</v>
      </c>
      <c r="J27" s="9">
        <v>6249</v>
      </c>
      <c r="K27" s="9">
        <v>6600</v>
      </c>
      <c r="L27" s="9">
        <v>5906</v>
      </c>
      <c r="M27" s="9">
        <v>6607</v>
      </c>
      <c r="N27" s="9">
        <v>6849</v>
      </c>
      <c r="O27" s="9">
        <v>7129</v>
      </c>
      <c r="P27" s="9">
        <v>6593</v>
      </c>
      <c r="Q27" s="9">
        <v>6601</v>
      </c>
      <c r="R27" s="9">
        <v>6690</v>
      </c>
      <c r="S27" s="9">
        <v>6631</v>
      </c>
      <c r="T27" s="9">
        <v>6054</v>
      </c>
      <c r="U27" s="9">
        <v>6321</v>
      </c>
      <c r="V27" s="9">
        <v>6797</v>
      </c>
      <c r="W27" s="9">
        <v>6357</v>
      </c>
      <c r="X27" s="9">
        <v>6687</v>
      </c>
      <c r="Y27" s="9">
        <v>7661</v>
      </c>
      <c r="Z27" s="9">
        <v>7012</v>
      </c>
      <c r="AA27" s="9">
        <v>6258</v>
      </c>
      <c r="AB27" s="9">
        <v>5781</v>
      </c>
      <c r="AC27" s="9">
        <v>5893</v>
      </c>
      <c r="AD27" s="9">
        <v>5516</v>
      </c>
      <c r="AE27" s="9">
        <v>6022</v>
      </c>
      <c r="AF27" s="9">
        <v>6077</v>
      </c>
      <c r="AG27" s="9">
        <v>6148</v>
      </c>
    </row>
    <row r="28" spans="1:33" ht="12.75">
      <c r="A28" s="240" t="s">
        <v>36</v>
      </c>
      <c r="B28" s="240"/>
      <c r="C28" s="240"/>
      <c r="E28" s="94" t="s">
        <v>383</v>
      </c>
      <c r="F28" s="9">
        <v>1698</v>
      </c>
      <c r="G28" s="9">
        <v>1900</v>
      </c>
      <c r="H28" s="9">
        <v>1624</v>
      </c>
      <c r="I28" s="9">
        <v>1900</v>
      </c>
      <c r="J28" s="9">
        <v>2236</v>
      </c>
      <c r="K28" s="9">
        <v>2236</v>
      </c>
      <c r="L28" s="9">
        <v>2425</v>
      </c>
      <c r="M28" s="9">
        <v>2590</v>
      </c>
      <c r="N28" s="9">
        <v>2411</v>
      </c>
      <c r="O28" s="9">
        <v>2685</v>
      </c>
      <c r="P28" s="9">
        <v>2550</v>
      </c>
      <c r="Q28" s="9">
        <v>2708</v>
      </c>
      <c r="R28" s="9">
        <v>2465</v>
      </c>
      <c r="S28" s="9">
        <v>2679</v>
      </c>
      <c r="T28" s="9">
        <v>2922</v>
      </c>
      <c r="U28" s="9">
        <v>3113</v>
      </c>
      <c r="V28" s="9">
        <v>2930</v>
      </c>
      <c r="W28" s="9">
        <v>3083</v>
      </c>
      <c r="X28" s="9">
        <v>3335</v>
      </c>
      <c r="Y28" s="9">
        <v>3519</v>
      </c>
      <c r="Z28" s="9">
        <v>3583</v>
      </c>
      <c r="AA28" s="9">
        <v>3812</v>
      </c>
      <c r="AB28" s="9">
        <v>3550</v>
      </c>
      <c r="AC28" s="9">
        <v>3822</v>
      </c>
      <c r="AD28" s="9">
        <v>3437</v>
      </c>
      <c r="AE28" s="9">
        <v>3694</v>
      </c>
      <c r="AF28" s="9">
        <v>3852</v>
      </c>
      <c r="AG28" s="9">
        <v>3846</v>
      </c>
    </row>
    <row r="29" spans="1:33" ht="12.75">
      <c r="A29" s="240" t="s">
        <v>36</v>
      </c>
      <c r="B29" s="240"/>
      <c r="C29" s="240"/>
      <c r="E29" s="94" t="s">
        <v>379</v>
      </c>
      <c r="F29" s="9">
        <v>2254</v>
      </c>
      <c r="G29" s="9">
        <v>2326</v>
      </c>
      <c r="H29" s="9">
        <v>2573</v>
      </c>
      <c r="I29" s="9">
        <v>2334</v>
      </c>
      <c r="J29" s="9">
        <v>2089</v>
      </c>
      <c r="K29" s="9">
        <v>2209</v>
      </c>
      <c r="L29" s="9">
        <v>2459</v>
      </c>
      <c r="M29" s="9">
        <v>2582</v>
      </c>
      <c r="N29" s="9">
        <v>2200</v>
      </c>
      <c r="O29" s="9">
        <v>2295</v>
      </c>
      <c r="P29" s="9">
        <v>2913</v>
      </c>
      <c r="Q29" s="9">
        <v>2973</v>
      </c>
      <c r="R29" s="9">
        <v>2618</v>
      </c>
      <c r="S29" s="9">
        <v>2694</v>
      </c>
      <c r="T29" s="9">
        <v>2851</v>
      </c>
      <c r="U29" s="9">
        <v>3227</v>
      </c>
      <c r="V29" s="9">
        <v>3004</v>
      </c>
      <c r="W29" s="9">
        <v>2838</v>
      </c>
      <c r="X29" s="9">
        <v>3070</v>
      </c>
      <c r="Y29" s="9">
        <v>3680</v>
      </c>
      <c r="Z29" s="9">
        <v>3896</v>
      </c>
      <c r="AA29" s="9">
        <v>3450</v>
      </c>
      <c r="AB29" s="9">
        <v>3394</v>
      </c>
      <c r="AC29" s="9">
        <v>3251</v>
      </c>
      <c r="AD29" s="9">
        <v>2890</v>
      </c>
      <c r="AE29" s="9">
        <v>2742</v>
      </c>
      <c r="AF29" s="9">
        <v>2990</v>
      </c>
      <c r="AG29" s="9">
        <v>3385</v>
      </c>
    </row>
    <row r="30" spans="1:33" ht="12.75">
      <c r="A30" s="240" t="s">
        <v>36</v>
      </c>
      <c r="B30" s="240"/>
      <c r="C30" s="240"/>
      <c r="E30" s="94" t="s">
        <v>131</v>
      </c>
      <c r="F30" s="13">
        <v>1858</v>
      </c>
      <c r="G30" s="13">
        <v>1942</v>
      </c>
      <c r="H30" s="13">
        <v>1702</v>
      </c>
      <c r="I30" s="13">
        <v>1618</v>
      </c>
      <c r="J30" s="13">
        <v>1879</v>
      </c>
      <c r="K30" s="13">
        <v>1993</v>
      </c>
      <c r="L30" s="13">
        <v>1905</v>
      </c>
      <c r="M30" s="13">
        <v>1897</v>
      </c>
      <c r="N30" s="13">
        <v>1839</v>
      </c>
      <c r="O30" s="13">
        <v>1874</v>
      </c>
      <c r="P30" s="13">
        <v>1748</v>
      </c>
      <c r="Q30" s="13">
        <v>1681</v>
      </c>
      <c r="R30" s="13">
        <v>1608</v>
      </c>
      <c r="S30" s="13">
        <v>1796</v>
      </c>
      <c r="T30" s="13">
        <v>1786</v>
      </c>
      <c r="U30" s="9">
        <v>1760</v>
      </c>
      <c r="V30" s="9">
        <v>1780</v>
      </c>
      <c r="W30" s="9">
        <v>1964</v>
      </c>
      <c r="X30" s="9">
        <v>1974</v>
      </c>
      <c r="Y30" s="9">
        <v>2012</v>
      </c>
      <c r="Z30" s="9">
        <v>2027</v>
      </c>
      <c r="AA30" s="9">
        <v>2145</v>
      </c>
      <c r="AB30" s="9">
        <v>2182</v>
      </c>
      <c r="AC30" s="9">
        <v>2188</v>
      </c>
      <c r="AD30" s="9">
        <v>2286</v>
      </c>
      <c r="AE30" s="9">
        <v>2402</v>
      </c>
      <c r="AF30" s="9">
        <v>2472</v>
      </c>
      <c r="AG30" s="9">
        <v>2556</v>
      </c>
    </row>
    <row r="31" spans="1:33" ht="12.75">
      <c r="A31" s="240" t="s">
        <v>36</v>
      </c>
      <c r="B31" s="240"/>
      <c r="C31" s="240"/>
      <c r="E31" s="53" t="s">
        <v>93</v>
      </c>
      <c r="F31" s="13">
        <v>6795</v>
      </c>
      <c r="G31" s="13">
        <v>6849</v>
      </c>
      <c r="H31" s="13">
        <v>6570</v>
      </c>
      <c r="I31" s="13">
        <v>8150</v>
      </c>
      <c r="J31" s="13">
        <v>7456</v>
      </c>
      <c r="K31" s="13">
        <v>7459</v>
      </c>
      <c r="L31" s="13">
        <v>7514</v>
      </c>
      <c r="M31" s="13">
        <v>7936</v>
      </c>
      <c r="N31" s="13">
        <v>4753</v>
      </c>
      <c r="O31" s="13">
        <v>4776</v>
      </c>
      <c r="P31" s="13">
        <v>5107</v>
      </c>
      <c r="Q31" s="13">
        <v>6292</v>
      </c>
      <c r="R31" s="13">
        <v>5894</v>
      </c>
      <c r="S31" s="13">
        <v>5724</v>
      </c>
      <c r="T31" s="13">
        <v>5540</v>
      </c>
      <c r="U31" s="9">
        <v>4700</v>
      </c>
      <c r="V31" s="9">
        <v>4084</v>
      </c>
      <c r="W31" s="9">
        <v>3898</v>
      </c>
      <c r="X31" s="9">
        <v>4084</v>
      </c>
      <c r="Y31" s="9">
        <v>4392</v>
      </c>
      <c r="Z31" s="9">
        <v>4374</v>
      </c>
      <c r="AA31" s="9">
        <v>4278</v>
      </c>
      <c r="AB31" s="9">
        <v>4170</v>
      </c>
      <c r="AC31" s="9">
        <v>4236</v>
      </c>
      <c r="AD31" s="9">
        <v>3729</v>
      </c>
      <c r="AE31" s="9">
        <v>3899</v>
      </c>
      <c r="AF31" s="9">
        <v>4201</v>
      </c>
      <c r="AG31" s="9">
        <v>4283</v>
      </c>
    </row>
    <row r="32" spans="1:33" ht="12.75">
      <c r="A32" s="240" t="s">
        <v>37</v>
      </c>
      <c r="B32" s="240"/>
      <c r="C32" s="240"/>
      <c r="E32" s="77" t="s">
        <v>134</v>
      </c>
      <c r="F32" s="14">
        <v>38996</v>
      </c>
      <c r="G32" s="14">
        <v>43318</v>
      </c>
      <c r="H32" s="14">
        <v>39844</v>
      </c>
      <c r="I32" s="14">
        <v>40812</v>
      </c>
      <c r="J32" s="14">
        <v>38314</v>
      </c>
      <c r="K32" s="14">
        <v>40282</v>
      </c>
      <c r="L32" s="14">
        <v>42056</v>
      </c>
      <c r="M32" s="14">
        <v>41534</v>
      </c>
      <c r="N32" s="14">
        <v>38268</v>
      </c>
      <c r="O32" s="14">
        <v>42336</v>
      </c>
      <c r="P32" s="14">
        <v>40965</v>
      </c>
      <c r="Q32" s="14">
        <v>41615</v>
      </c>
      <c r="R32" s="14">
        <v>39022</v>
      </c>
      <c r="S32" s="14">
        <v>42631</v>
      </c>
      <c r="T32" s="14">
        <v>41584</v>
      </c>
      <c r="U32" s="14">
        <v>43363</v>
      </c>
      <c r="V32" s="14">
        <v>42153</v>
      </c>
      <c r="W32" s="14">
        <v>45080</v>
      </c>
      <c r="X32" s="14">
        <v>47469</v>
      </c>
      <c r="Y32" s="14">
        <v>49355</v>
      </c>
      <c r="Z32" s="14">
        <v>49039</v>
      </c>
      <c r="AA32" s="14">
        <v>49258</v>
      </c>
      <c r="AB32" s="14">
        <v>51108</v>
      </c>
      <c r="AC32" s="14">
        <v>50463</v>
      </c>
      <c r="AD32" s="14">
        <v>48132</v>
      </c>
      <c r="AE32" s="14">
        <v>51306</v>
      </c>
      <c r="AF32" s="14">
        <v>52693</v>
      </c>
      <c r="AG32" s="14">
        <v>53394</v>
      </c>
    </row>
    <row r="33" spans="1:33" ht="12.75">
      <c r="A33" s="240" t="s">
        <v>36</v>
      </c>
      <c r="B33" s="240"/>
      <c r="C33" s="240"/>
      <c r="E33" s="53" t="s">
        <v>135</v>
      </c>
      <c r="F33" s="9" t="s">
        <v>30</v>
      </c>
      <c r="G33" s="9" t="s">
        <v>30</v>
      </c>
      <c r="H33" s="9" t="s">
        <v>30</v>
      </c>
      <c r="I33" s="9" t="s">
        <v>30</v>
      </c>
      <c r="J33" s="9" t="s">
        <v>30</v>
      </c>
      <c r="K33" s="9" t="s">
        <v>30</v>
      </c>
      <c r="L33" s="9" t="s">
        <v>413</v>
      </c>
      <c r="M33" s="9" t="s">
        <v>30</v>
      </c>
      <c r="N33" s="9" t="s">
        <v>30</v>
      </c>
      <c r="O33" s="9" t="s">
        <v>30</v>
      </c>
      <c r="P33" s="9" t="s">
        <v>30</v>
      </c>
      <c r="Q33" s="9" t="s">
        <v>30</v>
      </c>
      <c r="R33" s="9" t="s">
        <v>30</v>
      </c>
      <c r="S33" s="9" t="s">
        <v>30</v>
      </c>
      <c r="T33" s="9" t="s">
        <v>30</v>
      </c>
      <c r="U33" s="9" t="s">
        <v>30</v>
      </c>
      <c r="V33" s="9" t="s">
        <v>30</v>
      </c>
      <c r="W33" s="9" t="s">
        <v>30</v>
      </c>
      <c r="X33" s="9" t="s">
        <v>30</v>
      </c>
      <c r="Y33" s="9" t="s">
        <v>30</v>
      </c>
      <c r="Z33" s="9" t="s">
        <v>30</v>
      </c>
      <c r="AA33" s="9" t="s">
        <v>30</v>
      </c>
      <c r="AB33" s="9" t="s">
        <v>30</v>
      </c>
      <c r="AC33" s="9" t="s">
        <v>30</v>
      </c>
      <c r="AD33" s="9" t="s">
        <v>30</v>
      </c>
      <c r="AE33" s="9" t="s">
        <v>30</v>
      </c>
      <c r="AF33" s="9" t="s">
        <v>30</v>
      </c>
      <c r="AG33" s="9" t="s">
        <v>30</v>
      </c>
    </row>
    <row r="34" spans="1:33" ht="12.75">
      <c r="A34" s="240" t="s">
        <v>36</v>
      </c>
      <c r="B34" s="240"/>
      <c r="C34" s="240"/>
      <c r="E34" s="94" t="s">
        <v>259</v>
      </c>
      <c r="F34" s="9">
        <v>12902</v>
      </c>
      <c r="G34" s="9">
        <v>12178</v>
      </c>
      <c r="H34" s="9">
        <v>12438</v>
      </c>
      <c r="I34" s="9">
        <v>12096</v>
      </c>
      <c r="J34" s="9">
        <v>10550</v>
      </c>
      <c r="K34" s="9">
        <v>13150</v>
      </c>
      <c r="L34" s="9">
        <v>14595</v>
      </c>
      <c r="M34" s="9">
        <v>14206</v>
      </c>
      <c r="N34" s="9">
        <v>16611</v>
      </c>
      <c r="O34" s="9">
        <v>15047</v>
      </c>
      <c r="P34" s="9">
        <v>14349</v>
      </c>
      <c r="Q34" s="9">
        <v>13088</v>
      </c>
      <c r="R34" s="9">
        <v>16798</v>
      </c>
      <c r="S34" s="9">
        <v>15882</v>
      </c>
      <c r="T34" s="9">
        <v>14182</v>
      </c>
      <c r="U34" s="9">
        <v>14905</v>
      </c>
      <c r="V34" s="9">
        <v>14890</v>
      </c>
      <c r="W34" s="9">
        <v>14455</v>
      </c>
      <c r="X34" s="9">
        <v>14282</v>
      </c>
      <c r="Y34" s="9">
        <v>14703</v>
      </c>
      <c r="Z34" s="9">
        <v>14341</v>
      </c>
      <c r="AA34" s="9">
        <v>13907</v>
      </c>
      <c r="AB34" s="9">
        <v>13213</v>
      </c>
      <c r="AC34" s="9">
        <v>13097</v>
      </c>
      <c r="AD34" s="9">
        <v>12994</v>
      </c>
      <c r="AE34" s="9">
        <v>10259</v>
      </c>
      <c r="AF34" s="9">
        <v>10163</v>
      </c>
      <c r="AG34" s="9">
        <v>10202</v>
      </c>
    </row>
    <row r="35" spans="1:33" ht="12.75">
      <c r="A35" s="240" t="s">
        <v>36</v>
      </c>
      <c r="B35" s="240"/>
      <c r="C35" s="240"/>
      <c r="E35" s="116" t="s">
        <v>418</v>
      </c>
      <c r="F35" s="13"/>
      <c r="G35" s="13"/>
      <c r="H35" s="13"/>
      <c r="I35" s="13"/>
      <c r="J35" s="13"/>
      <c r="K35" s="13"/>
      <c r="L35" s="13"/>
      <c r="M35" s="13"/>
      <c r="N35" s="13">
        <v>3144</v>
      </c>
      <c r="O35" s="13">
        <v>4261</v>
      </c>
      <c r="P35" s="13">
        <v>4313</v>
      </c>
      <c r="Q35" s="13">
        <v>4765</v>
      </c>
      <c r="R35" s="13">
        <v>3982</v>
      </c>
      <c r="S35" s="13">
        <v>3410</v>
      </c>
      <c r="T35" s="13">
        <v>3197</v>
      </c>
      <c r="U35" s="13">
        <v>3425</v>
      </c>
      <c r="V35" s="13">
        <v>3651</v>
      </c>
      <c r="W35" s="13">
        <v>3909</v>
      </c>
      <c r="X35" s="13">
        <v>4092</v>
      </c>
      <c r="Y35" s="13">
        <v>5162</v>
      </c>
      <c r="Z35" s="13">
        <v>6124</v>
      </c>
      <c r="AA35" s="13">
        <v>4574</v>
      </c>
      <c r="AB35" s="13">
        <v>5312</v>
      </c>
      <c r="AC35" s="13">
        <v>4906</v>
      </c>
      <c r="AD35" s="13">
        <v>6352</v>
      </c>
      <c r="AE35" s="13">
        <v>6863</v>
      </c>
      <c r="AF35" s="13">
        <v>6624</v>
      </c>
      <c r="AG35" s="13">
        <v>4514</v>
      </c>
    </row>
    <row r="36" spans="1:33" ht="12.75">
      <c r="A36" s="240" t="s">
        <v>36</v>
      </c>
      <c r="B36" s="240"/>
      <c r="C36" s="240"/>
      <c r="E36" s="116" t="s">
        <v>364</v>
      </c>
      <c r="F36" s="13">
        <v>1138</v>
      </c>
      <c r="G36" s="9" t="s">
        <v>30</v>
      </c>
      <c r="H36" s="9">
        <v>0</v>
      </c>
      <c r="I36" s="9">
        <v>0</v>
      </c>
      <c r="J36" s="9">
        <v>1850</v>
      </c>
      <c r="K36" s="9">
        <v>0</v>
      </c>
      <c r="L36" s="9">
        <v>0</v>
      </c>
      <c r="M36" s="9">
        <v>0</v>
      </c>
      <c r="N36" s="9">
        <v>1860</v>
      </c>
      <c r="O36" s="9">
        <v>0</v>
      </c>
      <c r="P36" s="9">
        <v>0</v>
      </c>
      <c r="Q36" s="9">
        <v>0</v>
      </c>
      <c r="R36" s="9">
        <v>1860</v>
      </c>
      <c r="S36" s="9">
        <v>0</v>
      </c>
      <c r="T36" s="9">
        <v>0</v>
      </c>
      <c r="U36" s="9">
        <v>0</v>
      </c>
      <c r="V36" s="9">
        <v>1861</v>
      </c>
      <c r="W36" s="9">
        <v>0</v>
      </c>
      <c r="X36" s="9">
        <v>0</v>
      </c>
      <c r="Y36" s="9">
        <v>0</v>
      </c>
      <c r="Z36" s="9">
        <v>1868</v>
      </c>
      <c r="AA36" s="9">
        <v>0</v>
      </c>
      <c r="AB36" s="9">
        <v>0</v>
      </c>
      <c r="AC36" s="9">
        <v>0</v>
      </c>
      <c r="AD36" s="9">
        <v>0</v>
      </c>
      <c r="AE36" s="9">
        <v>0</v>
      </c>
      <c r="AF36" s="9">
        <v>0</v>
      </c>
      <c r="AG36" s="9">
        <v>0</v>
      </c>
    </row>
    <row r="37" spans="1:33" ht="12.75">
      <c r="A37" s="240" t="s">
        <v>36</v>
      </c>
      <c r="B37" s="240"/>
      <c r="C37" s="240"/>
      <c r="E37" s="53" t="s">
        <v>137</v>
      </c>
      <c r="F37" s="9">
        <v>18275</v>
      </c>
      <c r="G37" s="9">
        <v>19708</v>
      </c>
      <c r="H37" s="9">
        <v>19730</v>
      </c>
      <c r="I37" s="9">
        <v>20613</v>
      </c>
      <c r="J37" s="9">
        <v>18345</v>
      </c>
      <c r="K37" s="9">
        <v>19473</v>
      </c>
      <c r="L37" s="9">
        <v>20602</v>
      </c>
      <c r="M37" s="9">
        <v>20644</v>
      </c>
      <c r="N37" s="9">
        <v>16649</v>
      </c>
      <c r="O37" s="9">
        <v>17055</v>
      </c>
      <c r="P37" s="9">
        <v>16130</v>
      </c>
      <c r="Q37" s="9">
        <v>15726</v>
      </c>
      <c r="R37" s="9">
        <v>14429</v>
      </c>
      <c r="S37" s="9">
        <v>15902</v>
      </c>
      <c r="T37" s="9">
        <v>15279</v>
      </c>
      <c r="U37" s="9">
        <v>14308</v>
      </c>
      <c r="V37" s="9">
        <v>12380</v>
      </c>
      <c r="W37" s="9">
        <v>13142</v>
      </c>
      <c r="X37" s="9">
        <v>15305</v>
      </c>
      <c r="Y37" s="9">
        <v>16468</v>
      </c>
      <c r="Z37" s="9">
        <v>15501</v>
      </c>
      <c r="AA37" s="9">
        <v>16078</v>
      </c>
      <c r="AB37" s="9">
        <v>15877</v>
      </c>
      <c r="AC37" s="9">
        <v>15005</v>
      </c>
      <c r="AD37" s="9">
        <v>13969</v>
      </c>
      <c r="AE37" s="9">
        <v>13922</v>
      </c>
      <c r="AF37" s="9">
        <v>15744</v>
      </c>
      <c r="AG37" s="9">
        <v>17738</v>
      </c>
    </row>
    <row r="38" spans="1:33" ht="12.75">
      <c r="A38" s="240" t="s">
        <v>37</v>
      </c>
      <c r="B38" s="240"/>
      <c r="C38" s="240"/>
      <c r="E38" s="62" t="s">
        <v>138</v>
      </c>
      <c r="F38" s="14">
        <v>71311</v>
      </c>
      <c r="G38" s="14">
        <v>75204</v>
      </c>
      <c r="H38" s="14">
        <v>72012</v>
      </c>
      <c r="I38" s="14">
        <v>73521</v>
      </c>
      <c r="J38" s="14">
        <v>69059</v>
      </c>
      <c r="K38" s="14">
        <v>72905</v>
      </c>
      <c r="L38" s="14">
        <v>77253</v>
      </c>
      <c r="M38" s="14">
        <v>76384</v>
      </c>
      <c r="N38" s="14">
        <v>76532</v>
      </c>
      <c r="O38" s="14">
        <v>78699</v>
      </c>
      <c r="P38" s="14">
        <v>75757</v>
      </c>
      <c r="Q38" s="14">
        <v>75194</v>
      </c>
      <c r="R38" s="14">
        <v>76091</v>
      </c>
      <c r="S38" s="14">
        <v>77825</v>
      </c>
      <c r="T38" s="14">
        <v>74242</v>
      </c>
      <c r="U38" s="14">
        <v>76001</v>
      </c>
      <c r="V38" s="14">
        <v>74935</v>
      </c>
      <c r="W38" s="14">
        <v>76586</v>
      </c>
      <c r="X38" s="14">
        <v>81148</v>
      </c>
      <c r="Y38" s="14">
        <v>85688</v>
      </c>
      <c r="Z38" s="14">
        <v>86873</v>
      </c>
      <c r="AA38" s="14">
        <v>83817</v>
      </c>
      <c r="AB38" s="14">
        <v>85510</v>
      </c>
      <c r="AC38" s="14">
        <v>83471</v>
      </c>
      <c r="AD38" s="14">
        <v>81447</v>
      </c>
      <c r="AE38" s="14">
        <v>82350</v>
      </c>
      <c r="AF38" s="14">
        <v>85224</v>
      </c>
      <c r="AG38" s="14">
        <v>85848</v>
      </c>
    </row>
    <row r="39" spans="1:33" ht="12.75">
      <c r="A39" s="240" t="s">
        <v>38</v>
      </c>
      <c r="B39" s="240"/>
      <c r="C39" s="240"/>
      <c r="E39" s="77"/>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row>
    <row r="40" spans="1:33" ht="12.75">
      <c r="A40" s="243" t="s">
        <v>35</v>
      </c>
      <c r="B40" s="240"/>
      <c r="C40" s="240"/>
      <c r="E40" s="90" t="s">
        <v>127</v>
      </c>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row>
    <row r="41" spans="1:33" ht="12.75">
      <c r="A41" s="240" t="s">
        <v>36</v>
      </c>
      <c r="B41" s="240"/>
      <c r="C41" s="240"/>
      <c r="E41" s="116" t="s">
        <v>380</v>
      </c>
      <c r="F41" s="13">
        <v>7762</v>
      </c>
      <c r="G41" s="13">
        <v>7260</v>
      </c>
      <c r="H41" s="13">
        <v>7299</v>
      </c>
      <c r="I41" s="13">
        <v>6813</v>
      </c>
      <c r="J41" s="13">
        <v>7476</v>
      </c>
      <c r="K41" s="13">
        <v>8149</v>
      </c>
      <c r="L41" s="13">
        <v>11403</v>
      </c>
      <c r="M41" s="13">
        <v>9450</v>
      </c>
      <c r="N41" s="13">
        <v>9556</v>
      </c>
      <c r="O41" s="13">
        <v>9706</v>
      </c>
      <c r="P41" s="13">
        <v>9465</v>
      </c>
      <c r="Q41" s="13">
        <v>8733</v>
      </c>
      <c r="R41" s="13">
        <v>9324</v>
      </c>
      <c r="S41" s="13">
        <v>9320</v>
      </c>
      <c r="T41" s="13">
        <v>9167</v>
      </c>
      <c r="U41" s="9">
        <v>6582</v>
      </c>
      <c r="V41" s="9">
        <v>6797</v>
      </c>
      <c r="W41" s="9">
        <v>5067</v>
      </c>
      <c r="X41" s="9">
        <v>5114</v>
      </c>
      <c r="Y41" s="9">
        <v>4340</v>
      </c>
      <c r="Z41" s="9">
        <v>5199</v>
      </c>
      <c r="AA41" s="9">
        <v>5008</v>
      </c>
      <c r="AB41" s="9">
        <v>4021</v>
      </c>
      <c r="AC41" s="9">
        <v>2420</v>
      </c>
      <c r="AD41" s="9">
        <v>2984</v>
      </c>
      <c r="AE41" s="9">
        <v>3216</v>
      </c>
      <c r="AF41" s="9">
        <v>3063</v>
      </c>
      <c r="AG41" s="9">
        <v>860</v>
      </c>
    </row>
    <row r="42" spans="1:33" ht="12.75">
      <c r="A42" s="240" t="s">
        <v>36</v>
      </c>
      <c r="B42" s="240"/>
      <c r="C42" s="240"/>
      <c r="E42" s="94" t="s">
        <v>381</v>
      </c>
      <c r="F42" s="9">
        <v>7248</v>
      </c>
      <c r="G42" s="9">
        <v>6560</v>
      </c>
      <c r="H42" s="9">
        <v>5541</v>
      </c>
      <c r="I42" s="9">
        <v>7012</v>
      </c>
      <c r="J42" s="9">
        <v>6227</v>
      </c>
      <c r="K42" s="9">
        <v>4539</v>
      </c>
      <c r="L42" s="9">
        <v>4078</v>
      </c>
      <c r="M42" s="9">
        <v>5316</v>
      </c>
      <c r="N42" s="9">
        <v>4667</v>
      </c>
      <c r="O42" s="9">
        <v>3231</v>
      </c>
      <c r="P42" s="9">
        <v>3986</v>
      </c>
      <c r="Q42" s="9">
        <v>4813</v>
      </c>
      <c r="R42" s="9">
        <v>5861</v>
      </c>
      <c r="S42" s="9">
        <v>4681</v>
      </c>
      <c r="T42" s="9">
        <v>4397</v>
      </c>
      <c r="U42" s="9">
        <v>4681</v>
      </c>
      <c r="V42" s="9">
        <v>4949</v>
      </c>
      <c r="W42" s="9">
        <v>4148</v>
      </c>
      <c r="X42" s="9">
        <v>5004</v>
      </c>
      <c r="Y42" s="9">
        <v>6216</v>
      </c>
      <c r="Z42" s="9">
        <v>6830</v>
      </c>
      <c r="AA42" s="9">
        <v>4651</v>
      </c>
      <c r="AB42" s="9">
        <v>4015</v>
      </c>
      <c r="AC42" s="9">
        <v>4854</v>
      </c>
      <c r="AD42" s="9">
        <v>4870</v>
      </c>
      <c r="AE42" s="9">
        <v>2909</v>
      </c>
      <c r="AF42" s="9">
        <v>2300</v>
      </c>
      <c r="AG42" s="9">
        <v>2700</v>
      </c>
    </row>
    <row r="43" spans="1:33" ht="12.75">
      <c r="A43" s="240" t="s">
        <v>36</v>
      </c>
      <c r="B43" s="240"/>
      <c r="C43" s="240"/>
      <c r="E43" s="116" t="s">
        <v>382</v>
      </c>
      <c r="F43" s="9">
        <v>3091</v>
      </c>
      <c r="G43" s="9">
        <v>3146</v>
      </c>
      <c r="H43" s="9">
        <v>3448</v>
      </c>
      <c r="I43" s="9">
        <v>3146</v>
      </c>
      <c r="J43" s="9">
        <v>2975</v>
      </c>
      <c r="K43" s="9">
        <v>3473</v>
      </c>
      <c r="L43" s="9">
        <v>3721</v>
      </c>
      <c r="M43" s="9">
        <v>7468</v>
      </c>
      <c r="N43" s="9">
        <v>7144</v>
      </c>
      <c r="O43" s="9">
        <v>6757</v>
      </c>
      <c r="P43" s="9">
        <v>6804</v>
      </c>
      <c r="Q43" s="9">
        <v>6736</v>
      </c>
      <c r="R43" s="9">
        <v>7199</v>
      </c>
      <c r="S43" s="9">
        <v>7079</v>
      </c>
      <c r="T43" s="9">
        <v>6961</v>
      </c>
      <c r="U43" s="9">
        <v>6554</v>
      </c>
      <c r="V43" s="9">
        <v>6185</v>
      </c>
      <c r="W43" s="9">
        <v>6503</v>
      </c>
      <c r="X43" s="9">
        <v>6484</v>
      </c>
      <c r="Y43" s="9">
        <v>6913</v>
      </c>
      <c r="Z43" s="9">
        <v>6914</v>
      </c>
      <c r="AA43" s="9">
        <v>6716</v>
      </c>
      <c r="AB43" s="9">
        <v>6308</v>
      </c>
      <c r="AC43" s="9">
        <v>5799</v>
      </c>
      <c r="AD43" s="9">
        <v>5698</v>
      </c>
      <c r="AE43" s="9">
        <v>6285</v>
      </c>
      <c r="AF43" s="9">
        <v>6271</v>
      </c>
      <c r="AG43" s="9">
        <v>6216</v>
      </c>
    </row>
    <row r="44" spans="1:33" ht="12.75">
      <c r="A44" s="240" t="s">
        <v>36</v>
      </c>
      <c r="B44" s="240"/>
      <c r="C44" s="240"/>
      <c r="E44" s="94" t="s">
        <v>383</v>
      </c>
      <c r="F44" s="9">
        <v>1944</v>
      </c>
      <c r="G44" s="9">
        <v>1938</v>
      </c>
      <c r="H44" s="9">
        <v>1924</v>
      </c>
      <c r="I44" s="9">
        <v>2020</v>
      </c>
      <c r="J44" s="9">
        <v>1863</v>
      </c>
      <c r="K44" s="9">
        <v>2042</v>
      </c>
      <c r="L44" s="9">
        <v>1911</v>
      </c>
      <c r="M44" s="9">
        <v>2040</v>
      </c>
      <c r="N44" s="9">
        <v>2132</v>
      </c>
      <c r="O44" s="9">
        <v>2297</v>
      </c>
      <c r="P44" s="9">
        <v>2231</v>
      </c>
      <c r="Q44" s="9">
        <v>2225</v>
      </c>
      <c r="R44" s="9">
        <v>2423</v>
      </c>
      <c r="S44" s="9">
        <v>2239</v>
      </c>
      <c r="T44" s="9">
        <v>2003</v>
      </c>
      <c r="U44" s="9">
        <v>1663</v>
      </c>
      <c r="V44" s="9">
        <v>1886</v>
      </c>
      <c r="W44" s="9">
        <v>1968</v>
      </c>
      <c r="X44" s="9">
        <v>2035</v>
      </c>
      <c r="Y44" s="9">
        <v>2095</v>
      </c>
      <c r="Z44" s="9">
        <v>2362</v>
      </c>
      <c r="AA44" s="9">
        <v>2007</v>
      </c>
      <c r="AB44" s="9">
        <v>1711</v>
      </c>
      <c r="AC44" s="9">
        <v>1600</v>
      </c>
      <c r="AD44" s="9">
        <v>1890</v>
      </c>
      <c r="AE44" s="9">
        <v>1841</v>
      </c>
      <c r="AF44" s="9">
        <v>1878</v>
      </c>
      <c r="AG44" s="9">
        <v>1842</v>
      </c>
    </row>
    <row r="45" spans="1:33" ht="12.75">
      <c r="A45" s="240" t="s">
        <v>36</v>
      </c>
      <c r="B45" s="240"/>
      <c r="C45" s="240"/>
      <c r="E45" s="94" t="s">
        <v>379</v>
      </c>
      <c r="F45" s="9">
        <v>1588</v>
      </c>
      <c r="G45" s="9">
        <v>1646</v>
      </c>
      <c r="H45" s="9">
        <v>1792</v>
      </c>
      <c r="I45" s="9">
        <v>1723</v>
      </c>
      <c r="J45" s="9">
        <v>1651</v>
      </c>
      <c r="K45" s="9">
        <v>1555</v>
      </c>
      <c r="L45" s="9">
        <v>1802</v>
      </c>
      <c r="M45" s="9">
        <v>2210</v>
      </c>
      <c r="N45" s="9">
        <v>2078</v>
      </c>
      <c r="O45" s="9">
        <v>2061</v>
      </c>
      <c r="P45" s="9">
        <v>1680</v>
      </c>
      <c r="Q45" s="9">
        <v>1555</v>
      </c>
      <c r="R45" s="9">
        <v>1762</v>
      </c>
      <c r="S45" s="9">
        <v>1742</v>
      </c>
      <c r="T45" s="9">
        <v>1862</v>
      </c>
      <c r="U45" s="9">
        <v>1529</v>
      </c>
      <c r="V45" s="9">
        <v>1457</v>
      </c>
      <c r="W45" s="9">
        <v>1588</v>
      </c>
      <c r="X45" s="9">
        <v>1723</v>
      </c>
      <c r="Y45" s="9">
        <v>1464</v>
      </c>
      <c r="Z45" s="9">
        <v>1311</v>
      </c>
      <c r="AA45" s="9">
        <v>1416</v>
      </c>
      <c r="AB45" s="9">
        <v>1418</v>
      </c>
      <c r="AC45" s="9">
        <v>1300</v>
      </c>
      <c r="AD45" s="9">
        <v>1320</v>
      </c>
      <c r="AE45" s="9">
        <v>1452</v>
      </c>
      <c r="AF45" s="9">
        <v>1527</v>
      </c>
      <c r="AG45" s="9">
        <v>796</v>
      </c>
    </row>
    <row r="46" spans="1:33" ht="12.75">
      <c r="A46" s="240" t="s">
        <v>36</v>
      </c>
      <c r="B46" s="240"/>
      <c r="C46" s="240"/>
      <c r="E46" s="94" t="s">
        <v>131</v>
      </c>
      <c r="F46" s="9">
        <v>945</v>
      </c>
      <c r="G46" s="9">
        <v>903</v>
      </c>
      <c r="H46" s="9">
        <v>772</v>
      </c>
      <c r="I46" s="9">
        <v>874</v>
      </c>
      <c r="J46" s="9">
        <v>855</v>
      </c>
      <c r="K46" s="9">
        <v>918</v>
      </c>
      <c r="L46" s="9">
        <v>989</v>
      </c>
      <c r="M46" s="9">
        <v>932</v>
      </c>
      <c r="N46" s="9">
        <v>958</v>
      </c>
      <c r="O46" s="9">
        <v>953</v>
      </c>
      <c r="P46" s="9">
        <v>942</v>
      </c>
      <c r="Q46" s="9">
        <v>983</v>
      </c>
      <c r="R46" s="9">
        <v>995</v>
      </c>
      <c r="S46" s="9">
        <v>929</v>
      </c>
      <c r="T46" s="9">
        <v>906</v>
      </c>
      <c r="U46" s="9">
        <v>960</v>
      </c>
      <c r="V46" s="9">
        <v>963</v>
      </c>
      <c r="W46" s="9">
        <v>992</v>
      </c>
      <c r="X46" s="9">
        <v>941</v>
      </c>
      <c r="Y46" s="9">
        <v>919</v>
      </c>
      <c r="Z46" s="9">
        <v>1023</v>
      </c>
      <c r="AA46" s="9">
        <v>1071</v>
      </c>
      <c r="AB46" s="9">
        <v>983</v>
      </c>
      <c r="AC46" s="9">
        <v>882</v>
      </c>
      <c r="AD46" s="9">
        <v>947</v>
      </c>
      <c r="AE46" s="9">
        <v>881</v>
      </c>
      <c r="AF46" s="9">
        <v>862</v>
      </c>
      <c r="AG46" s="9">
        <v>843</v>
      </c>
    </row>
    <row r="47" spans="1:33" ht="15">
      <c r="A47" s="240" t="s">
        <v>36</v>
      </c>
      <c r="B47" s="240"/>
      <c r="C47" s="240"/>
      <c r="E47" s="53" t="s">
        <v>572</v>
      </c>
      <c r="F47" s="9">
        <v>-2435</v>
      </c>
      <c r="G47" s="9">
        <v>-2241</v>
      </c>
      <c r="H47" s="9">
        <v>-1655</v>
      </c>
      <c r="I47" s="9">
        <v>-1684</v>
      </c>
      <c r="J47" s="9">
        <v>-462</v>
      </c>
      <c r="K47" s="9">
        <v>112</v>
      </c>
      <c r="L47" s="9">
        <v>-370</v>
      </c>
      <c r="M47" s="9">
        <v>-405</v>
      </c>
      <c r="N47" s="9">
        <v>1752</v>
      </c>
      <c r="O47" s="9">
        <v>1625</v>
      </c>
      <c r="P47" s="9">
        <v>1492</v>
      </c>
      <c r="Q47" s="9">
        <v>845</v>
      </c>
      <c r="R47" s="9">
        <v>1481</v>
      </c>
      <c r="S47" s="9">
        <v>1332</v>
      </c>
      <c r="T47" s="9">
        <v>1504</v>
      </c>
      <c r="U47" s="9">
        <v>2992</v>
      </c>
      <c r="V47" s="9">
        <v>3602</v>
      </c>
      <c r="W47" s="9">
        <v>3764</v>
      </c>
      <c r="X47" s="9">
        <v>3599</v>
      </c>
      <c r="Y47" s="9">
        <v>4152</v>
      </c>
      <c r="Z47" s="9">
        <v>4981</v>
      </c>
      <c r="AA47" s="9">
        <v>4417</v>
      </c>
      <c r="AB47" s="9">
        <v>4368</v>
      </c>
      <c r="AC47" s="9">
        <v>4557</v>
      </c>
      <c r="AD47" s="9">
        <v>5328</v>
      </c>
      <c r="AE47" s="9">
        <v>5064</v>
      </c>
      <c r="AF47" s="9">
        <v>4689</v>
      </c>
      <c r="AG47" s="9">
        <v>4841</v>
      </c>
    </row>
    <row r="48" spans="1:33" ht="12.75">
      <c r="A48" s="240" t="s">
        <v>37</v>
      </c>
      <c r="B48" s="240"/>
      <c r="C48" s="240"/>
      <c r="E48" s="77" t="s">
        <v>134</v>
      </c>
      <c r="F48" s="133">
        <v>20143</v>
      </c>
      <c r="G48" s="133">
        <v>19212</v>
      </c>
      <c r="H48" s="133">
        <v>19121</v>
      </c>
      <c r="I48" s="133">
        <v>19904</v>
      </c>
      <c r="J48" s="133">
        <v>20585</v>
      </c>
      <c r="K48" s="133">
        <v>20788</v>
      </c>
      <c r="L48" s="133">
        <v>23534</v>
      </c>
      <c r="M48" s="133">
        <v>27011</v>
      </c>
      <c r="N48" s="133">
        <v>28287</v>
      </c>
      <c r="O48" s="133">
        <v>26630</v>
      </c>
      <c r="P48" s="133">
        <v>26600</v>
      </c>
      <c r="Q48" s="133">
        <v>25890</v>
      </c>
      <c r="R48" s="133">
        <v>29045</v>
      </c>
      <c r="S48" s="133">
        <v>27322</v>
      </c>
      <c r="T48" s="133">
        <v>26800</v>
      </c>
      <c r="U48" s="133">
        <v>24961</v>
      </c>
      <c r="V48" s="133">
        <v>25839</v>
      </c>
      <c r="W48" s="133">
        <v>24030</v>
      </c>
      <c r="X48" s="133">
        <v>24900</v>
      </c>
      <c r="Y48" s="133">
        <v>26099</v>
      </c>
      <c r="Z48" s="133">
        <v>28620</v>
      </c>
      <c r="AA48" s="133">
        <v>25286</v>
      </c>
      <c r="AB48" s="133">
        <v>22824</v>
      </c>
      <c r="AC48" s="133">
        <v>21412</v>
      </c>
      <c r="AD48" s="133">
        <v>23037</v>
      </c>
      <c r="AE48" s="133">
        <v>21648</v>
      </c>
      <c r="AF48" s="133">
        <v>20590</v>
      </c>
      <c r="AG48" s="133">
        <v>18098</v>
      </c>
    </row>
    <row r="49" spans="1:3" ht="12.75">
      <c r="A49" s="240" t="s">
        <v>38</v>
      </c>
      <c r="B49" s="240"/>
      <c r="C49" s="240"/>
    </row>
    <row r="50" spans="1:17" ht="12.75">
      <c r="A50" s="240" t="s">
        <v>76</v>
      </c>
      <c r="B50" s="240"/>
      <c r="C50" s="240"/>
      <c r="E50" s="40" t="s">
        <v>436</v>
      </c>
      <c r="N50" s="43"/>
      <c r="O50" s="43"/>
      <c r="P50" s="43"/>
      <c r="Q50" s="43"/>
    </row>
    <row r="51" spans="1:5" ht="12.75">
      <c r="A51" s="240" t="s">
        <v>76</v>
      </c>
      <c r="B51" s="240"/>
      <c r="C51" s="240"/>
      <c r="E51" s="17" t="s">
        <v>406</v>
      </c>
    </row>
    <row r="52" spans="1:5" ht="12.75">
      <c r="A52" s="240" t="s">
        <v>76</v>
      </c>
      <c r="B52" s="240"/>
      <c r="C52" s="240"/>
      <c r="E52" s="40" t="s">
        <v>439</v>
      </c>
    </row>
  </sheetData>
  <sheetProtection/>
  <printOptions/>
  <pageMargins left="0.75" right="0.75" top="1" bottom="1" header="0.5" footer="0.5"/>
  <pageSetup fitToHeight="3" horizontalDpi="600" verticalDpi="600" orientation="portrait" paperSize="8" scale="54" r:id="rId1"/>
</worksheet>
</file>

<file path=xl/worksheets/sheet11.xml><?xml version="1.0" encoding="utf-8"?>
<worksheet xmlns="http://schemas.openxmlformats.org/spreadsheetml/2006/main" xmlns:r="http://schemas.openxmlformats.org/officeDocument/2006/relationships">
  <sheetPr>
    <pageSetUpPr fitToPage="1"/>
  </sheetPr>
  <dimension ref="A1:AS53"/>
  <sheetViews>
    <sheetView zoomScaleSheetLayoutView="80" zoomScalePageLayoutView="0" workbookViewId="0" topLeftCell="AH1">
      <selection activeCell="AS26" sqref="AS26"/>
    </sheetView>
  </sheetViews>
  <sheetFormatPr defaultColWidth="9.140625" defaultRowHeight="12.75"/>
  <cols>
    <col min="1" max="1" width="11.140625" style="240" bestFit="1" customWidth="1"/>
    <col min="2" max="2" width="10.28125" style="92" customWidth="1"/>
    <col min="3" max="3" width="12.140625" style="92" customWidth="1"/>
    <col min="4" max="4" width="13.8515625" style="92" hidden="1" customWidth="1"/>
    <col min="5" max="5" width="65.00390625" style="92" customWidth="1"/>
    <col min="6" max="12" width="11.00390625" style="92" hidden="1" customWidth="1"/>
    <col min="13" max="13" width="11.57421875" style="92" hidden="1" customWidth="1"/>
    <col min="14" max="14" width="11.140625" style="92" hidden="1" customWidth="1"/>
    <col min="15" max="17" width="11.57421875" style="92" hidden="1" customWidth="1"/>
    <col min="18" max="18" width="10.57421875" style="92" hidden="1" customWidth="1"/>
    <col min="19" max="21" width="11.140625" style="92" hidden="1" customWidth="1"/>
    <col min="22" max="22" width="10.140625" style="92" hidden="1" customWidth="1"/>
    <col min="23" max="25" width="10.57421875" style="92" hidden="1" customWidth="1"/>
    <col min="26" max="33" width="9.140625" style="92" hidden="1" customWidth="1"/>
    <col min="34" max="34" width="9.140625" style="92" customWidth="1"/>
    <col min="35" max="16384" width="9.140625" style="92" customWidth="1"/>
  </cols>
  <sheetData>
    <row r="1" spans="1:5" ht="21">
      <c r="A1" s="250">
        <f>+'Income_statement-Q'!A1</f>
        <v>42735</v>
      </c>
      <c r="B1" s="97" t="s">
        <v>141</v>
      </c>
      <c r="C1" s="98"/>
      <c r="D1" s="99" t="str">
        <f>Company</f>
        <v>AB Electrolux</v>
      </c>
      <c r="E1" s="99" t="str">
        <f>Company</f>
        <v>AB Electrolux</v>
      </c>
    </row>
    <row r="2" spans="1:5" ht="12.75">
      <c r="A2" s="250"/>
      <c r="B2" s="97" t="s">
        <v>143</v>
      </c>
      <c r="C2" s="98"/>
      <c r="D2" s="100">
        <f>A1</f>
        <v>42735</v>
      </c>
      <c r="E2" s="101">
        <f>A1</f>
        <v>42735</v>
      </c>
    </row>
    <row r="3" spans="1:5" ht="12.75">
      <c r="A3" s="250"/>
      <c r="B3" s="97" t="s">
        <v>144</v>
      </c>
      <c r="C3" s="98" t="s">
        <v>145</v>
      </c>
      <c r="D3" s="102" t="s">
        <v>146</v>
      </c>
      <c r="E3" s="102" t="s">
        <v>147</v>
      </c>
    </row>
    <row r="4" spans="1:7" ht="12.75">
      <c r="A4" s="240" t="s">
        <v>34</v>
      </c>
      <c r="B4" s="97" t="s">
        <v>148</v>
      </c>
      <c r="C4" s="40"/>
      <c r="D4" s="34" t="s">
        <v>133</v>
      </c>
      <c r="E4" s="34" t="s">
        <v>133</v>
      </c>
      <c r="F4" s="34"/>
      <c r="G4" s="34"/>
    </row>
    <row r="5" spans="2:30" ht="12.75">
      <c r="B5" s="97" t="s">
        <v>150</v>
      </c>
      <c r="C5" s="103" t="s">
        <v>284</v>
      </c>
      <c r="D5" s="34"/>
      <c r="E5" s="34"/>
      <c r="F5" s="34"/>
      <c r="G5" s="34"/>
      <c r="Z5" s="40"/>
      <c r="AA5" s="40"/>
      <c r="AB5" s="40"/>
      <c r="AC5" s="40"/>
      <c r="AD5" s="40"/>
    </row>
    <row r="6" spans="1:45" s="153" customFormat="1" ht="12.75">
      <c r="A6" s="245" t="s">
        <v>35</v>
      </c>
      <c r="B6" s="113" t="s">
        <v>149</v>
      </c>
      <c r="C6" s="103"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row>
    <row r="7" spans="1:5" s="33" customFormat="1" ht="12.75">
      <c r="A7" s="238" t="s">
        <v>571</v>
      </c>
      <c r="B7" s="238"/>
      <c r="C7" s="238"/>
      <c r="E7" s="33" t="s">
        <v>31</v>
      </c>
    </row>
    <row r="8" spans="1:45" ht="12.75">
      <c r="A8" s="240" t="s">
        <v>36</v>
      </c>
      <c r="B8" s="240"/>
      <c r="C8" s="240"/>
      <c r="E8" s="93" t="s">
        <v>10</v>
      </c>
      <c r="F8" s="2">
        <v>24930</v>
      </c>
      <c r="G8" s="2">
        <v>25785</v>
      </c>
      <c r="H8" s="2">
        <v>26374</v>
      </c>
      <c r="I8" s="2">
        <v>27643</v>
      </c>
      <c r="J8" s="2">
        <v>24193</v>
      </c>
      <c r="K8" s="2">
        <v>25587</v>
      </c>
      <c r="L8" s="2">
        <v>26349</v>
      </c>
      <c r="M8" s="2">
        <v>28663</v>
      </c>
      <c r="N8" s="2">
        <v>25818</v>
      </c>
      <c r="O8" s="2">
        <v>27482</v>
      </c>
      <c r="P8" s="2">
        <v>27617</v>
      </c>
      <c r="Q8" s="2">
        <v>28215</v>
      </c>
      <c r="R8" s="2">
        <v>25133</v>
      </c>
      <c r="S8" s="2">
        <v>27311</v>
      </c>
      <c r="T8" s="2">
        <v>26326</v>
      </c>
      <c r="U8" s="2">
        <v>27556</v>
      </c>
      <c r="V8" s="2">
        <v>23436</v>
      </c>
      <c r="W8" s="2">
        <v>24143</v>
      </c>
      <c r="X8" s="2">
        <v>25650</v>
      </c>
      <c r="Y8" s="2">
        <v>28369</v>
      </c>
      <c r="Z8" s="2">
        <v>25875</v>
      </c>
      <c r="AA8" s="2">
        <v>27763</v>
      </c>
      <c r="AB8" s="2">
        <v>27171</v>
      </c>
      <c r="AC8" s="2">
        <v>29185</v>
      </c>
      <c r="AD8" s="2">
        <v>25328</v>
      </c>
      <c r="AE8" s="2">
        <v>27674</v>
      </c>
      <c r="AF8" s="2">
        <v>27258</v>
      </c>
      <c r="AG8" s="2">
        <v>28891</v>
      </c>
      <c r="AH8" s="2">
        <v>25629</v>
      </c>
      <c r="AI8" s="2">
        <v>26330</v>
      </c>
      <c r="AJ8" s="2">
        <v>28784</v>
      </c>
      <c r="AK8" s="2">
        <v>31400</v>
      </c>
      <c r="AL8" s="2">
        <v>29087</v>
      </c>
      <c r="AM8" s="2">
        <v>31355</v>
      </c>
      <c r="AN8" s="2">
        <v>31275</v>
      </c>
      <c r="AO8" s="2">
        <v>31794</v>
      </c>
      <c r="AP8" s="2">
        <v>28114</v>
      </c>
      <c r="AQ8" s="2">
        <v>29983</v>
      </c>
      <c r="AR8" s="2">
        <v>30852</v>
      </c>
      <c r="AS8" s="2">
        <v>32144</v>
      </c>
    </row>
    <row r="9" spans="1:45" ht="12.75">
      <c r="A9" s="240" t="s">
        <v>36</v>
      </c>
      <c r="B9" s="240"/>
      <c r="C9" s="240" t="s">
        <v>530</v>
      </c>
      <c r="E9" s="93" t="s">
        <v>542</v>
      </c>
      <c r="F9" s="15">
        <v>7.5</v>
      </c>
      <c r="G9" s="15">
        <v>4.8</v>
      </c>
      <c r="H9" s="15">
        <v>3.7</v>
      </c>
      <c r="I9" s="15">
        <v>0.3</v>
      </c>
      <c r="J9" s="15">
        <v>-0.7</v>
      </c>
      <c r="K9" s="15">
        <v>2.4</v>
      </c>
      <c r="L9" s="15">
        <v>1.6</v>
      </c>
      <c r="M9" s="15">
        <v>-5.5</v>
      </c>
      <c r="N9" s="15">
        <v>-8.4</v>
      </c>
      <c r="O9" s="15">
        <v>-8.4</v>
      </c>
      <c r="P9" s="15">
        <v>-3</v>
      </c>
      <c r="Q9" s="15">
        <v>-0.6</v>
      </c>
      <c r="R9" s="15">
        <v>4.1</v>
      </c>
      <c r="S9" s="15">
        <v>2.8</v>
      </c>
      <c r="T9" s="15">
        <v>-2.3</v>
      </c>
      <c r="U9" s="15">
        <v>1.6</v>
      </c>
      <c r="V9" s="15">
        <v>0.9</v>
      </c>
      <c r="W9" s="15">
        <v>-1.6</v>
      </c>
      <c r="X9" s="15">
        <v>1.5</v>
      </c>
      <c r="Y9" s="15">
        <v>0</v>
      </c>
      <c r="Z9" s="15">
        <v>3.5</v>
      </c>
      <c r="AA9" s="3">
        <v>5.800000000000001</v>
      </c>
      <c r="AB9" s="3">
        <v>4.6</v>
      </c>
      <c r="AC9" s="3">
        <v>7.5</v>
      </c>
      <c r="AD9" s="3">
        <v>3.8</v>
      </c>
      <c r="AE9" s="3">
        <v>5.9</v>
      </c>
      <c r="AF9" s="3">
        <v>4.9</v>
      </c>
      <c r="AG9" s="3">
        <v>3.6</v>
      </c>
      <c r="AH9" s="3">
        <v>4.5</v>
      </c>
      <c r="AI9" s="3">
        <v>-3.8</v>
      </c>
      <c r="AJ9" s="3">
        <v>1.6</v>
      </c>
      <c r="AK9" s="3">
        <v>2</v>
      </c>
      <c r="AL9" s="3">
        <v>-0.5</v>
      </c>
      <c r="AM9" s="3">
        <v>7</v>
      </c>
      <c r="AN9" s="3">
        <v>2.1</v>
      </c>
      <c r="AO9" s="3">
        <v>0.19999999999999998</v>
      </c>
      <c r="AP9" s="3">
        <v>1.7999999999999998</v>
      </c>
      <c r="AQ9" s="3">
        <v>-0.9</v>
      </c>
      <c r="AR9" s="3">
        <v>-1.6</v>
      </c>
      <c r="AS9" s="3">
        <v>-3</v>
      </c>
    </row>
    <row r="10" spans="1:45" ht="12.75">
      <c r="A10" s="240" t="s">
        <v>36</v>
      </c>
      <c r="B10" s="240"/>
      <c r="C10" s="240"/>
      <c r="E10" s="49" t="s">
        <v>515</v>
      </c>
      <c r="F10" s="2">
        <v>0</v>
      </c>
      <c r="G10" s="2">
        <v>-31</v>
      </c>
      <c r="H10" s="2">
        <v>0</v>
      </c>
      <c r="I10" s="2">
        <v>-331</v>
      </c>
      <c r="J10" s="2">
        <v>34</v>
      </c>
      <c r="K10" s="2">
        <v>-539</v>
      </c>
      <c r="L10" s="2">
        <v>108</v>
      </c>
      <c r="M10" s="2">
        <v>42</v>
      </c>
      <c r="N10" s="2">
        <v>-424</v>
      </c>
      <c r="O10" s="2">
        <v>25</v>
      </c>
      <c r="P10" s="2">
        <v>56</v>
      </c>
      <c r="Q10" s="2">
        <v>-1218</v>
      </c>
      <c r="R10" s="2">
        <v>-95</v>
      </c>
      <c r="S10" s="2">
        <v>-207</v>
      </c>
      <c r="T10" s="2">
        <v>0</v>
      </c>
      <c r="U10" s="2">
        <v>-762</v>
      </c>
      <c r="V10" s="2">
        <v>0</v>
      </c>
      <c r="W10" s="2">
        <v>0</v>
      </c>
      <c r="X10" s="2">
        <v>-34</v>
      </c>
      <c r="Y10" s="2">
        <v>-104</v>
      </c>
      <c r="Z10" s="2">
        <v>0</v>
      </c>
      <c r="AA10" s="2">
        <v>0</v>
      </c>
      <c r="AB10" s="2">
        <v>0</v>
      </c>
      <c r="AC10" s="2">
        <v>-1032</v>
      </c>
      <c r="AD10" s="2">
        <v>-82</v>
      </c>
      <c r="AE10" s="2">
        <v>0</v>
      </c>
      <c r="AF10" s="2">
        <v>0</v>
      </c>
      <c r="AG10" s="2">
        <v>-2393</v>
      </c>
      <c r="AH10" s="2">
        <v>-18</v>
      </c>
      <c r="AI10" s="2">
        <v>-1104</v>
      </c>
      <c r="AJ10" s="2">
        <v>-50</v>
      </c>
      <c r="AK10" s="2">
        <v>-176</v>
      </c>
      <c r="AL10" s="2">
        <v>-64</v>
      </c>
      <c r="AM10" s="2">
        <v>-194</v>
      </c>
      <c r="AN10" s="2">
        <v>-142</v>
      </c>
      <c r="AO10" s="2">
        <v>-1849</v>
      </c>
      <c r="AP10" s="5" t="s">
        <v>30</v>
      </c>
      <c r="AQ10" s="5" t="s">
        <v>30</v>
      </c>
      <c r="AR10" s="5" t="s">
        <v>30</v>
      </c>
      <c r="AS10" s="5" t="s">
        <v>30</v>
      </c>
    </row>
    <row r="11" spans="1:45" ht="12.75">
      <c r="A11" s="240" t="s">
        <v>36</v>
      </c>
      <c r="B11" s="240"/>
      <c r="C11" s="240"/>
      <c r="E11" s="93" t="s">
        <v>17</v>
      </c>
      <c r="F11" s="2">
        <v>757</v>
      </c>
      <c r="G11" s="2">
        <v>890</v>
      </c>
      <c r="H11" s="2">
        <v>1152</v>
      </c>
      <c r="I11" s="2">
        <v>1676</v>
      </c>
      <c r="J11" s="2">
        <v>-5</v>
      </c>
      <c r="K11" s="2">
        <v>254</v>
      </c>
      <c r="L11" s="2">
        <v>1286</v>
      </c>
      <c r="M11" s="2">
        <v>-347</v>
      </c>
      <c r="N11" s="2">
        <v>-386</v>
      </c>
      <c r="O11" s="2">
        <v>1052</v>
      </c>
      <c r="P11" s="2">
        <v>2290</v>
      </c>
      <c r="Q11" s="2">
        <v>805</v>
      </c>
      <c r="R11" s="2">
        <v>1231</v>
      </c>
      <c r="S11" s="2">
        <v>1270</v>
      </c>
      <c r="T11" s="2">
        <v>1977</v>
      </c>
      <c r="U11" s="2">
        <v>952</v>
      </c>
      <c r="V11" s="2">
        <v>696</v>
      </c>
      <c r="W11" s="2">
        <v>745</v>
      </c>
      <c r="X11" s="2">
        <v>1064</v>
      </c>
      <c r="Y11" s="2">
        <v>512</v>
      </c>
      <c r="Z11" s="2">
        <v>907</v>
      </c>
      <c r="AA11" s="2">
        <v>1112</v>
      </c>
      <c r="AB11" s="2">
        <v>1423</v>
      </c>
      <c r="AC11" s="2">
        <v>558</v>
      </c>
      <c r="AD11" s="2">
        <v>638</v>
      </c>
      <c r="AE11" s="2">
        <v>1037</v>
      </c>
      <c r="AF11" s="2">
        <v>1075</v>
      </c>
      <c r="AG11" s="2">
        <v>-1170</v>
      </c>
      <c r="AH11" s="2">
        <v>731</v>
      </c>
      <c r="AI11" s="2">
        <v>63</v>
      </c>
      <c r="AJ11" s="2">
        <v>1392</v>
      </c>
      <c r="AK11" s="2">
        <v>1395</v>
      </c>
      <c r="AL11" s="2">
        <v>516</v>
      </c>
      <c r="AM11" s="2">
        <v>921</v>
      </c>
      <c r="AN11" s="2">
        <v>1506</v>
      </c>
      <c r="AO11" s="2">
        <v>-202</v>
      </c>
      <c r="AP11" s="2">
        <v>1268</v>
      </c>
      <c r="AQ11" s="2">
        <v>1564</v>
      </c>
      <c r="AR11" s="2">
        <v>1826</v>
      </c>
      <c r="AS11" s="2">
        <v>1616</v>
      </c>
    </row>
    <row r="12" spans="1:45" ht="12.75">
      <c r="A12" s="240" t="s">
        <v>36</v>
      </c>
      <c r="B12" s="240"/>
      <c r="C12" s="240" t="s">
        <v>530</v>
      </c>
      <c r="E12" s="166" t="s">
        <v>540</v>
      </c>
      <c r="F12" s="5">
        <v>3.036502206177296</v>
      </c>
      <c r="G12" s="5">
        <v>3.451619158425441</v>
      </c>
      <c r="H12" s="5">
        <v>4.367938120876621</v>
      </c>
      <c r="I12" s="5">
        <v>6.063017762182107</v>
      </c>
      <c r="J12" s="5">
        <v>-0.020667135121729425</v>
      </c>
      <c r="K12" s="5">
        <v>0.9926916012037363</v>
      </c>
      <c r="L12" s="5">
        <v>4.8806406315230175</v>
      </c>
      <c r="M12" s="5">
        <v>-1.2106199630185257</v>
      </c>
      <c r="N12" s="5">
        <v>-1.4950809512743048</v>
      </c>
      <c r="O12" s="5">
        <v>3.8279601193508475</v>
      </c>
      <c r="P12" s="5">
        <v>8.291994061628708</v>
      </c>
      <c r="Q12" s="5">
        <v>2.853092326776537</v>
      </c>
      <c r="R12" s="5">
        <v>4.897942943540365</v>
      </c>
      <c r="S12" s="5">
        <v>4.650140968840394</v>
      </c>
      <c r="T12" s="5">
        <v>7.509686241738206</v>
      </c>
      <c r="U12" s="5">
        <v>3.4547829873711717</v>
      </c>
      <c r="V12" s="5">
        <v>2.9697900665642605</v>
      </c>
      <c r="W12" s="5">
        <v>3.085780557511494</v>
      </c>
      <c r="X12" s="5">
        <v>4.148148148148148</v>
      </c>
      <c r="Y12" s="5">
        <v>1.8047869152948641</v>
      </c>
      <c r="Z12" s="12">
        <v>3.5053140096618356</v>
      </c>
      <c r="AA12" s="12">
        <v>4.005330836004754</v>
      </c>
      <c r="AB12" s="12">
        <v>5.237201427993081</v>
      </c>
      <c r="AC12" s="12">
        <v>1.9119410656158984</v>
      </c>
      <c r="AD12" s="12">
        <v>2.5189513581806695</v>
      </c>
      <c r="AE12" s="12">
        <v>3.747199537471995</v>
      </c>
      <c r="AF12" s="12">
        <v>3.9437963166776724</v>
      </c>
      <c r="AG12" s="12">
        <v>-4.049704060087916</v>
      </c>
      <c r="AH12" s="12">
        <v>2.8522376994810568</v>
      </c>
      <c r="AI12" s="12">
        <v>0.23927079377136345</v>
      </c>
      <c r="AJ12" s="12">
        <v>4.836020011117288</v>
      </c>
      <c r="AK12" s="12">
        <v>4.442675159235669</v>
      </c>
      <c r="AL12" s="12">
        <v>1.7739883796885205</v>
      </c>
      <c r="AM12" s="12">
        <v>2.9</v>
      </c>
      <c r="AN12" s="12">
        <v>4.815347721822541</v>
      </c>
      <c r="AO12" s="12">
        <v>-0.6353400012580991</v>
      </c>
      <c r="AP12" s="12">
        <v>4.510208437077613</v>
      </c>
      <c r="AQ12" s="12">
        <v>5.216289230563986</v>
      </c>
      <c r="AR12" s="12">
        <v>5.918579022429664</v>
      </c>
      <c r="AS12" s="12">
        <v>5.027376804380289</v>
      </c>
    </row>
    <row r="13" spans="1:45" ht="12.75">
      <c r="A13" s="240" t="s">
        <v>36</v>
      </c>
      <c r="B13" s="240"/>
      <c r="C13" s="240"/>
      <c r="E13" s="166" t="s">
        <v>19</v>
      </c>
      <c r="F13" s="8">
        <v>670</v>
      </c>
      <c r="G13" s="8">
        <v>752</v>
      </c>
      <c r="H13" s="8">
        <v>1037</v>
      </c>
      <c r="I13" s="8">
        <v>1576</v>
      </c>
      <c r="J13" s="8">
        <v>-149</v>
      </c>
      <c r="K13" s="8">
        <v>140</v>
      </c>
      <c r="L13" s="8">
        <v>1192</v>
      </c>
      <c r="M13" s="8">
        <v>-530</v>
      </c>
      <c r="N13" s="8">
        <v>-493</v>
      </c>
      <c r="O13" s="8">
        <v>932</v>
      </c>
      <c r="P13" s="8">
        <v>2244</v>
      </c>
      <c r="Q13" s="8">
        <v>801</v>
      </c>
      <c r="R13" s="8">
        <v>1211</v>
      </c>
      <c r="S13" s="8">
        <v>1269</v>
      </c>
      <c r="T13" s="8">
        <v>1901</v>
      </c>
      <c r="U13" s="8">
        <v>925</v>
      </c>
      <c r="V13" s="8">
        <v>637</v>
      </c>
      <c r="W13" s="8">
        <v>696</v>
      </c>
      <c r="X13" s="8">
        <v>1119</v>
      </c>
      <c r="Y13" s="8">
        <v>328</v>
      </c>
      <c r="Z13" s="8">
        <v>712</v>
      </c>
      <c r="AA13" s="8">
        <v>910</v>
      </c>
      <c r="AB13" s="8">
        <v>1170</v>
      </c>
      <c r="AC13" s="8">
        <v>362</v>
      </c>
      <c r="AD13" s="8">
        <v>483</v>
      </c>
      <c r="AE13" s="8">
        <v>859</v>
      </c>
      <c r="AF13" s="8">
        <v>884</v>
      </c>
      <c r="AG13" s="8">
        <v>-1322</v>
      </c>
      <c r="AH13" s="8">
        <v>575</v>
      </c>
      <c r="AI13" s="8">
        <v>-120</v>
      </c>
      <c r="AJ13" s="8">
        <v>1250</v>
      </c>
      <c r="AK13" s="8">
        <v>1292</v>
      </c>
      <c r="AL13" s="8">
        <v>450</v>
      </c>
      <c r="AM13" s="8">
        <v>815</v>
      </c>
      <c r="AN13" s="8">
        <v>1361</v>
      </c>
      <c r="AO13" s="8">
        <v>-525</v>
      </c>
      <c r="AP13" s="8">
        <v>1163</v>
      </c>
      <c r="AQ13" s="8">
        <v>1448</v>
      </c>
      <c r="AR13" s="8">
        <v>1725</v>
      </c>
      <c r="AS13" s="8">
        <v>1245</v>
      </c>
    </row>
    <row r="14" spans="1:45" ht="12.75">
      <c r="A14" s="240" t="s">
        <v>36</v>
      </c>
      <c r="B14" s="240"/>
      <c r="C14" s="240"/>
      <c r="E14" s="166" t="s">
        <v>21</v>
      </c>
      <c r="F14" s="8">
        <v>492</v>
      </c>
      <c r="G14" s="8">
        <v>545</v>
      </c>
      <c r="H14" s="8">
        <v>762</v>
      </c>
      <c r="I14" s="8">
        <v>1126</v>
      </c>
      <c r="J14" s="8">
        <v>-106</v>
      </c>
      <c r="K14" s="8">
        <v>99</v>
      </c>
      <c r="L14" s="8">
        <v>847</v>
      </c>
      <c r="M14" s="8">
        <v>-474</v>
      </c>
      <c r="N14" s="8">
        <v>-346</v>
      </c>
      <c r="O14" s="8">
        <v>658</v>
      </c>
      <c r="P14" s="8">
        <v>1631</v>
      </c>
      <c r="Q14" s="8">
        <v>664</v>
      </c>
      <c r="R14" s="8">
        <v>911</v>
      </c>
      <c r="S14" s="8">
        <v>1028</v>
      </c>
      <c r="T14" s="8">
        <v>1381</v>
      </c>
      <c r="U14" s="8">
        <v>677</v>
      </c>
      <c r="V14" s="8">
        <v>457</v>
      </c>
      <c r="W14" s="8">
        <v>561</v>
      </c>
      <c r="X14" s="8">
        <v>825</v>
      </c>
      <c r="Y14" s="8">
        <v>221</v>
      </c>
      <c r="Z14" s="8">
        <v>499</v>
      </c>
      <c r="AA14" s="8">
        <v>701</v>
      </c>
      <c r="AB14" s="8">
        <v>923</v>
      </c>
      <c r="AC14" s="8">
        <v>242</v>
      </c>
      <c r="AD14" s="8">
        <v>361</v>
      </c>
      <c r="AE14" s="8">
        <v>642</v>
      </c>
      <c r="AF14" s="8">
        <v>656</v>
      </c>
      <c r="AG14" s="8">
        <v>-987</v>
      </c>
      <c r="AH14" s="8">
        <v>431</v>
      </c>
      <c r="AI14" s="8">
        <v>-92</v>
      </c>
      <c r="AJ14" s="8">
        <v>933</v>
      </c>
      <c r="AK14" s="8">
        <v>970</v>
      </c>
      <c r="AL14" s="8">
        <v>339</v>
      </c>
      <c r="AM14" s="8">
        <v>608</v>
      </c>
      <c r="AN14" s="8">
        <v>1014</v>
      </c>
      <c r="AO14" s="8">
        <v>-393</v>
      </c>
      <c r="AP14" s="8">
        <v>875</v>
      </c>
      <c r="AQ14" s="8">
        <v>1079</v>
      </c>
      <c r="AR14" s="8">
        <v>1267</v>
      </c>
      <c r="AS14" s="8">
        <v>1272</v>
      </c>
    </row>
    <row r="15" spans="1:45" ht="12.75">
      <c r="A15" s="240" t="s">
        <v>36</v>
      </c>
      <c r="B15" s="240"/>
      <c r="C15" s="240"/>
      <c r="E15" s="29" t="s">
        <v>302</v>
      </c>
      <c r="F15" s="2">
        <v>-788</v>
      </c>
      <c r="G15" s="2">
        <v>-932</v>
      </c>
      <c r="H15" s="2">
        <v>-815</v>
      </c>
      <c r="I15" s="2">
        <v>-895</v>
      </c>
      <c r="J15" s="2">
        <v>-497</v>
      </c>
      <c r="K15" s="2">
        <v>-779</v>
      </c>
      <c r="L15" s="2">
        <v>-851</v>
      </c>
      <c r="M15" s="2">
        <v>-1031</v>
      </c>
      <c r="N15" s="2">
        <v>-514</v>
      </c>
      <c r="O15" s="2">
        <v>-404</v>
      </c>
      <c r="P15" s="2">
        <v>-490</v>
      </c>
      <c r="Q15" s="2">
        <v>-815</v>
      </c>
      <c r="R15" s="2">
        <v>-438</v>
      </c>
      <c r="S15" s="2">
        <v>-765</v>
      </c>
      <c r="T15" s="2">
        <v>-858</v>
      </c>
      <c r="U15" s="2">
        <v>-1160</v>
      </c>
      <c r="V15" s="2">
        <v>-540</v>
      </c>
      <c r="W15" s="2">
        <v>-741</v>
      </c>
      <c r="X15" s="2">
        <v>-857</v>
      </c>
      <c r="Y15" s="2">
        <v>-1025</v>
      </c>
      <c r="Z15" s="2">
        <v>-784</v>
      </c>
      <c r="AA15" s="2">
        <v>-1033</v>
      </c>
      <c r="AB15" s="2">
        <v>-998</v>
      </c>
      <c r="AC15" s="2">
        <v>-1275</v>
      </c>
      <c r="AD15" s="2">
        <v>-685</v>
      </c>
      <c r="AE15" s="2">
        <v>-816</v>
      </c>
      <c r="AF15" s="2">
        <v>-845</v>
      </c>
      <c r="AG15" s="2">
        <v>-1189</v>
      </c>
      <c r="AH15" s="2">
        <v>-489</v>
      </c>
      <c r="AI15" s="2">
        <v>-631</v>
      </c>
      <c r="AJ15" s="2">
        <v>-734</v>
      </c>
      <c r="AK15" s="2">
        <v>-1152</v>
      </c>
      <c r="AL15" s="2">
        <v>-656</v>
      </c>
      <c r="AM15" s="2">
        <v>-671</v>
      </c>
      <c r="AN15" s="2">
        <v>-618</v>
      </c>
      <c r="AO15" s="2">
        <v>-1082</v>
      </c>
      <c r="AP15" s="2">
        <v>-539</v>
      </c>
      <c r="AQ15" s="2">
        <v>-554</v>
      </c>
      <c r="AR15" s="2">
        <v>-666</v>
      </c>
      <c r="AS15" s="2">
        <v>-1071</v>
      </c>
    </row>
    <row r="16" spans="1:45" ht="12.75">
      <c r="A16" s="240" t="s">
        <v>36</v>
      </c>
      <c r="B16" s="240"/>
      <c r="C16" s="240"/>
      <c r="E16" s="122" t="s">
        <v>516</v>
      </c>
      <c r="F16" s="2">
        <v>-431</v>
      </c>
      <c r="G16" s="2">
        <v>-250</v>
      </c>
      <c r="H16" s="2">
        <v>860</v>
      </c>
      <c r="I16" s="2">
        <v>2184</v>
      </c>
      <c r="J16" s="2">
        <v>130</v>
      </c>
      <c r="K16" s="2">
        <v>1407</v>
      </c>
      <c r="L16" s="2">
        <v>-295</v>
      </c>
      <c r="M16" s="2">
        <v>1633</v>
      </c>
      <c r="N16" s="2">
        <v>233</v>
      </c>
      <c r="O16" s="2">
        <v>3922</v>
      </c>
      <c r="P16" s="2">
        <v>3432</v>
      </c>
      <c r="Q16" s="2">
        <v>-984</v>
      </c>
      <c r="R16" s="2">
        <v>-122</v>
      </c>
      <c r="S16" s="2">
        <v>2981</v>
      </c>
      <c r="T16" s="2">
        <v>1038</v>
      </c>
      <c r="U16" s="2">
        <v>690</v>
      </c>
      <c r="V16" s="2">
        <v>-976</v>
      </c>
      <c r="W16" s="2">
        <v>1438</v>
      </c>
      <c r="X16" s="2">
        <v>1306</v>
      </c>
      <c r="Y16" s="2">
        <v>977</v>
      </c>
      <c r="Z16" s="2">
        <v>-43</v>
      </c>
      <c r="AA16" s="2">
        <v>3606</v>
      </c>
      <c r="AB16" s="2">
        <v>-230</v>
      </c>
      <c r="AC16" s="2">
        <v>1446</v>
      </c>
      <c r="AD16" s="2">
        <v>-2847</v>
      </c>
      <c r="AE16" s="2">
        <v>2507</v>
      </c>
      <c r="AF16" s="2">
        <v>907</v>
      </c>
      <c r="AG16" s="2">
        <v>1242</v>
      </c>
      <c r="AH16" s="2">
        <v>-123</v>
      </c>
      <c r="AI16" s="2">
        <v>3307</v>
      </c>
      <c r="AJ16" s="2">
        <v>1603</v>
      </c>
      <c r="AK16" s="2">
        <v>1844</v>
      </c>
      <c r="AL16" s="9">
        <v>-591</v>
      </c>
      <c r="AM16" s="9">
        <v>2993</v>
      </c>
      <c r="AN16" s="9">
        <v>1941</v>
      </c>
      <c r="AO16" s="9">
        <v>2402</v>
      </c>
      <c r="AP16" s="2">
        <v>-580</v>
      </c>
      <c r="AQ16" s="2">
        <v>4141</v>
      </c>
      <c r="AR16" s="2">
        <v>2965</v>
      </c>
      <c r="AS16" s="2">
        <v>2614</v>
      </c>
    </row>
    <row r="17" spans="1:45" ht="12.75">
      <c r="A17" s="240" t="s">
        <v>36</v>
      </c>
      <c r="B17" s="240"/>
      <c r="C17" s="240" t="s">
        <v>533</v>
      </c>
      <c r="E17" s="29" t="s">
        <v>536</v>
      </c>
      <c r="F17" s="4">
        <v>1.76</v>
      </c>
      <c r="G17" s="4">
        <v>1.94</v>
      </c>
      <c r="H17" s="4">
        <v>2.71</v>
      </c>
      <c r="I17" s="4">
        <v>4</v>
      </c>
      <c r="J17" s="4">
        <v>-0.38</v>
      </c>
      <c r="K17" s="4">
        <v>0.36</v>
      </c>
      <c r="L17" s="4">
        <v>2.99</v>
      </c>
      <c r="M17" s="4">
        <v>-1.68</v>
      </c>
      <c r="N17" s="4">
        <v>-1.22</v>
      </c>
      <c r="O17" s="4">
        <v>2.32</v>
      </c>
      <c r="P17" s="4">
        <v>5.74</v>
      </c>
      <c r="Q17" s="4">
        <v>2.34</v>
      </c>
      <c r="R17" s="4">
        <v>3.2</v>
      </c>
      <c r="S17" s="4">
        <v>3.61</v>
      </c>
      <c r="T17" s="4">
        <v>4.85</v>
      </c>
      <c r="U17" s="4">
        <v>2.38</v>
      </c>
      <c r="V17" s="4">
        <v>1.61</v>
      </c>
      <c r="W17" s="4">
        <v>1.97</v>
      </c>
      <c r="X17" s="4">
        <v>2.9</v>
      </c>
      <c r="Y17" s="4">
        <v>0.77</v>
      </c>
      <c r="Z17" s="4">
        <v>1.76</v>
      </c>
      <c r="AA17" s="4">
        <v>2.44</v>
      </c>
      <c r="AB17" s="4">
        <v>3.22</v>
      </c>
      <c r="AC17" s="4">
        <v>0.84</v>
      </c>
      <c r="AD17" s="4">
        <v>1.26</v>
      </c>
      <c r="AE17" s="4">
        <v>2.24</v>
      </c>
      <c r="AF17" s="4">
        <v>2.29</v>
      </c>
      <c r="AG17" s="4">
        <v>-3.44</v>
      </c>
      <c r="AH17" s="4">
        <v>1.5</v>
      </c>
      <c r="AI17" s="4">
        <v>-0.32000000000000006</v>
      </c>
      <c r="AJ17" s="4">
        <v>3.2600000000000007</v>
      </c>
      <c r="AK17" s="4">
        <v>3.3899999999999997</v>
      </c>
      <c r="AL17" s="4">
        <v>1.18</v>
      </c>
      <c r="AM17" s="4">
        <v>2.12</v>
      </c>
      <c r="AN17" s="4">
        <v>3.5300000000000002</v>
      </c>
      <c r="AO17" s="4">
        <v>-1.38</v>
      </c>
      <c r="AP17" s="4">
        <v>3.04</v>
      </c>
      <c r="AQ17" s="4">
        <v>3.75</v>
      </c>
      <c r="AR17" s="4">
        <v>4.41</v>
      </c>
      <c r="AS17" s="4">
        <v>4.43</v>
      </c>
    </row>
    <row r="18" spans="1:45" ht="12.75">
      <c r="A18" s="240" t="s">
        <v>36</v>
      </c>
      <c r="B18" s="240"/>
      <c r="C18" s="240" t="s">
        <v>533</v>
      </c>
      <c r="E18" s="60" t="s">
        <v>554</v>
      </c>
      <c r="F18" s="4" t="s">
        <v>30</v>
      </c>
      <c r="G18" s="4" t="s">
        <v>30</v>
      </c>
      <c r="H18" s="4" t="s">
        <v>30</v>
      </c>
      <c r="I18" s="4" t="s">
        <v>30</v>
      </c>
      <c r="J18" s="4" t="s">
        <v>30</v>
      </c>
      <c r="K18" s="4" t="s">
        <v>30</v>
      </c>
      <c r="L18" s="4" t="s">
        <v>30</v>
      </c>
      <c r="M18" s="4" t="s">
        <v>30</v>
      </c>
      <c r="N18" s="4" t="s">
        <v>30</v>
      </c>
      <c r="O18" s="4" t="s">
        <v>30</v>
      </c>
      <c r="P18" s="4" t="s">
        <v>30</v>
      </c>
      <c r="Q18" s="4" t="s">
        <v>30</v>
      </c>
      <c r="R18" s="4" t="s">
        <v>30</v>
      </c>
      <c r="S18" s="4" t="s">
        <v>30</v>
      </c>
      <c r="T18" s="4" t="s">
        <v>30</v>
      </c>
      <c r="U18" s="4" t="s">
        <v>30</v>
      </c>
      <c r="V18" s="4" t="s">
        <v>30</v>
      </c>
      <c r="W18" s="4" t="s">
        <v>30</v>
      </c>
      <c r="X18" s="4" t="s">
        <v>30</v>
      </c>
      <c r="Y18" s="4" t="s">
        <v>30</v>
      </c>
      <c r="Z18" s="4">
        <v>58.19</v>
      </c>
      <c r="AA18" s="4">
        <v>59.6</v>
      </c>
      <c r="AB18" s="4">
        <v>56.37</v>
      </c>
      <c r="AC18" s="4">
        <v>54.96</v>
      </c>
      <c r="AD18" s="4">
        <v>50.413680427382786</v>
      </c>
      <c r="AE18" s="4">
        <v>55.560216630619315</v>
      </c>
      <c r="AF18" s="4">
        <v>53.38350835739106</v>
      </c>
      <c r="AG18" s="4">
        <v>49.990918095264824</v>
      </c>
      <c r="AH18" s="4">
        <v>43.23827070052118</v>
      </c>
      <c r="AI18" s="4">
        <v>45.89962468063403</v>
      </c>
      <c r="AJ18" s="4">
        <v>53.454097986387445</v>
      </c>
      <c r="AK18" s="4">
        <v>57.51598076705838</v>
      </c>
      <c r="AL18" s="4">
        <v>53.93576039035837</v>
      </c>
      <c r="AM18" s="4">
        <v>55.94</v>
      </c>
      <c r="AN18" s="4">
        <v>55.24</v>
      </c>
      <c r="AO18" s="4">
        <v>52.20992740193067</v>
      </c>
      <c r="AP18" s="4">
        <v>48.61</v>
      </c>
      <c r="AQ18" s="4">
        <v>48.44162674373068</v>
      </c>
      <c r="AR18" s="4">
        <v>54.78127937460823</v>
      </c>
      <c r="AS18" s="4">
        <v>61.719406348247</v>
      </c>
    </row>
    <row r="19" spans="1:45" ht="12.75">
      <c r="A19" s="240" t="s">
        <v>36</v>
      </c>
      <c r="B19" s="240"/>
      <c r="C19" s="240" t="s">
        <v>547</v>
      </c>
      <c r="E19" s="53" t="s">
        <v>548</v>
      </c>
      <c r="F19" s="5" t="s">
        <v>30</v>
      </c>
      <c r="G19" s="5" t="s">
        <v>30</v>
      </c>
      <c r="H19" s="5" t="s">
        <v>30</v>
      </c>
      <c r="I19" s="5" t="s">
        <v>30</v>
      </c>
      <c r="J19" s="5" t="s">
        <v>30</v>
      </c>
      <c r="K19" s="5" t="s">
        <v>30</v>
      </c>
      <c r="L19" s="5" t="s">
        <v>30</v>
      </c>
      <c r="M19" s="5" t="s">
        <v>30</v>
      </c>
      <c r="N19" s="5" t="s">
        <v>30</v>
      </c>
      <c r="O19" s="5" t="s">
        <v>30</v>
      </c>
      <c r="P19" s="5" t="s">
        <v>30</v>
      </c>
      <c r="Q19" s="5" t="s">
        <v>30</v>
      </c>
      <c r="R19" s="5" t="s">
        <v>30</v>
      </c>
      <c r="S19" s="5" t="s">
        <v>30</v>
      </c>
      <c r="T19" s="5" t="s">
        <v>30</v>
      </c>
      <c r="U19" s="5" t="s">
        <v>30</v>
      </c>
      <c r="V19" s="5" t="s">
        <v>30</v>
      </c>
      <c r="W19" s="5" t="s">
        <v>30</v>
      </c>
      <c r="X19" s="5" t="s">
        <v>30</v>
      </c>
      <c r="Y19" s="5" t="s">
        <v>30</v>
      </c>
      <c r="Z19" s="5" t="s">
        <v>30</v>
      </c>
      <c r="AA19" s="5" t="s">
        <v>30</v>
      </c>
      <c r="AB19" s="5" t="s">
        <v>30</v>
      </c>
      <c r="AC19" s="5" t="s">
        <v>30</v>
      </c>
      <c r="AD19" s="5" t="s">
        <v>30</v>
      </c>
      <c r="AE19" s="5" t="s">
        <v>30</v>
      </c>
      <c r="AF19" s="5" t="s">
        <v>30</v>
      </c>
      <c r="AG19" s="5" t="s">
        <v>30</v>
      </c>
      <c r="AH19" s="5" t="s">
        <v>30</v>
      </c>
      <c r="AI19" s="5" t="s">
        <v>30</v>
      </c>
      <c r="AJ19" s="5" t="s">
        <v>30</v>
      </c>
      <c r="AK19" s="5" t="s">
        <v>30</v>
      </c>
      <c r="AL19" s="5" t="s">
        <v>30</v>
      </c>
      <c r="AM19" s="5" t="s">
        <v>30</v>
      </c>
      <c r="AN19" s="5" t="s">
        <v>30</v>
      </c>
      <c r="AO19" s="5" t="s">
        <v>30</v>
      </c>
      <c r="AP19" s="5" t="s">
        <v>30</v>
      </c>
      <c r="AQ19" s="5" t="s">
        <v>30</v>
      </c>
      <c r="AR19" s="5" t="s">
        <v>30</v>
      </c>
      <c r="AS19" s="5" t="s">
        <v>30</v>
      </c>
    </row>
    <row r="20" spans="1:45" ht="12.75">
      <c r="A20" s="240" t="s">
        <v>36</v>
      </c>
      <c r="B20" s="240"/>
      <c r="C20" s="240" t="s">
        <v>530</v>
      </c>
      <c r="E20" s="29" t="s">
        <v>552</v>
      </c>
      <c r="F20" s="5" t="s">
        <v>30</v>
      </c>
      <c r="G20" s="5" t="s">
        <v>30</v>
      </c>
      <c r="H20" s="5" t="s">
        <v>30</v>
      </c>
      <c r="I20" s="5" t="s">
        <v>30</v>
      </c>
      <c r="J20" s="5" t="s">
        <v>30</v>
      </c>
      <c r="K20" s="5" t="s">
        <v>30</v>
      </c>
      <c r="L20" s="5" t="s">
        <v>30</v>
      </c>
      <c r="M20" s="5" t="s">
        <v>30</v>
      </c>
      <c r="N20" s="5" t="s">
        <v>30</v>
      </c>
      <c r="O20" s="5" t="s">
        <v>30</v>
      </c>
      <c r="P20" s="5" t="s">
        <v>30</v>
      </c>
      <c r="Q20" s="5" t="s">
        <v>30</v>
      </c>
      <c r="R20" s="5" t="s">
        <v>30</v>
      </c>
      <c r="S20" s="5" t="s">
        <v>30</v>
      </c>
      <c r="T20" s="5" t="s">
        <v>30</v>
      </c>
      <c r="U20" s="5" t="s">
        <v>30</v>
      </c>
      <c r="V20" s="5" t="s">
        <v>30</v>
      </c>
      <c r="W20" s="5" t="s">
        <v>30</v>
      </c>
      <c r="X20" s="5" t="s">
        <v>30</v>
      </c>
      <c r="Y20" s="5" t="s">
        <v>30</v>
      </c>
      <c r="Z20" s="5" t="s">
        <v>30</v>
      </c>
      <c r="AA20" s="5" t="s">
        <v>30</v>
      </c>
      <c r="AB20" s="5" t="s">
        <v>30</v>
      </c>
      <c r="AC20" s="5" t="s">
        <v>30</v>
      </c>
      <c r="AD20" s="5" t="s">
        <v>30</v>
      </c>
      <c r="AE20" s="5" t="s">
        <v>30</v>
      </c>
      <c r="AF20" s="5" t="s">
        <v>30</v>
      </c>
      <c r="AG20" s="5" t="s">
        <v>30</v>
      </c>
      <c r="AH20" s="5" t="s">
        <v>30</v>
      </c>
      <c r="AI20" s="5" t="s">
        <v>30</v>
      </c>
      <c r="AJ20" s="5" t="s">
        <v>30</v>
      </c>
      <c r="AK20" s="5" t="s">
        <v>30</v>
      </c>
      <c r="AL20" s="5" t="s">
        <v>30</v>
      </c>
      <c r="AM20" s="5" t="s">
        <v>30</v>
      </c>
      <c r="AN20" s="5" t="s">
        <v>30</v>
      </c>
      <c r="AO20" s="5" t="s">
        <v>30</v>
      </c>
      <c r="AP20" s="5" t="s">
        <v>30</v>
      </c>
      <c r="AQ20" s="5" t="s">
        <v>30</v>
      </c>
      <c r="AR20" s="5" t="s">
        <v>30</v>
      </c>
      <c r="AS20" s="5" t="s">
        <v>30</v>
      </c>
    </row>
    <row r="21" spans="1:45" ht="12.75">
      <c r="A21" s="240" t="s">
        <v>36</v>
      </c>
      <c r="B21" s="240"/>
      <c r="C21" s="240" t="s">
        <v>530</v>
      </c>
      <c r="E21" s="29" t="s">
        <v>553</v>
      </c>
      <c r="F21" s="5" t="s">
        <v>30</v>
      </c>
      <c r="G21" s="5" t="s">
        <v>30</v>
      </c>
      <c r="H21" s="5" t="s">
        <v>30</v>
      </c>
      <c r="I21" s="5" t="s">
        <v>30</v>
      </c>
      <c r="J21" s="5" t="s">
        <v>30</v>
      </c>
      <c r="K21" s="5" t="s">
        <v>30</v>
      </c>
      <c r="L21" s="5" t="s">
        <v>30</v>
      </c>
      <c r="M21" s="5" t="s">
        <v>30</v>
      </c>
      <c r="N21" s="5" t="s">
        <v>30</v>
      </c>
      <c r="O21" s="5" t="s">
        <v>30</v>
      </c>
      <c r="P21" s="5" t="s">
        <v>30</v>
      </c>
      <c r="Q21" s="5" t="s">
        <v>30</v>
      </c>
      <c r="R21" s="5" t="s">
        <v>30</v>
      </c>
      <c r="S21" s="5" t="s">
        <v>30</v>
      </c>
      <c r="T21" s="5" t="s">
        <v>30</v>
      </c>
      <c r="U21" s="5" t="s">
        <v>30</v>
      </c>
      <c r="V21" s="5" t="s">
        <v>30</v>
      </c>
      <c r="W21" s="5" t="s">
        <v>30</v>
      </c>
      <c r="X21" s="5" t="s">
        <v>30</v>
      </c>
      <c r="Y21" s="5" t="s">
        <v>30</v>
      </c>
      <c r="Z21" s="5" t="s">
        <v>30</v>
      </c>
      <c r="AA21" s="5" t="s">
        <v>30</v>
      </c>
      <c r="AB21" s="5" t="s">
        <v>30</v>
      </c>
      <c r="AC21" s="5" t="s">
        <v>30</v>
      </c>
      <c r="AD21" s="5" t="s">
        <v>30</v>
      </c>
      <c r="AE21" s="5" t="s">
        <v>30</v>
      </c>
      <c r="AF21" s="5" t="s">
        <v>30</v>
      </c>
      <c r="AG21" s="5" t="s">
        <v>30</v>
      </c>
      <c r="AH21" s="5" t="s">
        <v>30</v>
      </c>
      <c r="AI21" s="5" t="s">
        <v>30</v>
      </c>
      <c r="AJ21" s="5" t="s">
        <v>30</v>
      </c>
      <c r="AK21" s="5" t="s">
        <v>30</v>
      </c>
      <c r="AL21" s="5" t="s">
        <v>30</v>
      </c>
      <c r="AM21" s="5" t="s">
        <v>30</v>
      </c>
      <c r="AN21" s="5" t="s">
        <v>30</v>
      </c>
      <c r="AO21" s="5" t="s">
        <v>30</v>
      </c>
      <c r="AP21" s="5" t="s">
        <v>30</v>
      </c>
      <c r="AQ21" s="5" t="s">
        <v>30</v>
      </c>
      <c r="AR21" s="5" t="s">
        <v>30</v>
      </c>
      <c r="AS21" s="5" t="s">
        <v>30</v>
      </c>
    </row>
    <row r="22" spans="1:45" ht="12.75">
      <c r="A22" s="240" t="s">
        <v>36</v>
      </c>
      <c r="B22" s="240"/>
      <c r="C22" s="240"/>
      <c r="E22" s="53" t="s">
        <v>427</v>
      </c>
      <c r="F22" s="5" t="s">
        <v>30</v>
      </c>
      <c r="G22" s="5" t="s">
        <v>30</v>
      </c>
      <c r="H22" s="5" t="s">
        <v>30</v>
      </c>
      <c r="I22" s="5" t="s">
        <v>30</v>
      </c>
      <c r="J22" s="5" t="s">
        <v>30</v>
      </c>
      <c r="K22" s="5" t="s">
        <v>30</v>
      </c>
      <c r="L22" s="5" t="s">
        <v>30</v>
      </c>
      <c r="M22" s="5" t="s">
        <v>30</v>
      </c>
      <c r="N22" s="5" t="s">
        <v>30</v>
      </c>
      <c r="O22" s="5" t="s">
        <v>30</v>
      </c>
      <c r="P22" s="5" t="s">
        <v>30</v>
      </c>
      <c r="Q22" s="5" t="s">
        <v>30</v>
      </c>
      <c r="R22" s="5" t="s">
        <v>30</v>
      </c>
      <c r="S22" s="5" t="s">
        <v>30</v>
      </c>
      <c r="T22" s="5" t="s">
        <v>30</v>
      </c>
      <c r="U22" s="5" t="s">
        <v>30</v>
      </c>
      <c r="V22" s="5" t="s">
        <v>30</v>
      </c>
      <c r="W22" s="5" t="s">
        <v>30</v>
      </c>
      <c r="X22" s="5" t="s">
        <v>30</v>
      </c>
      <c r="Y22" s="5" t="s">
        <v>30</v>
      </c>
      <c r="Z22" s="2">
        <v>9778</v>
      </c>
      <c r="AA22" s="2">
        <v>9575</v>
      </c>
      <c r="AB22" s="2">
        <v>10470</v>
      </c>
      <c r="AC22" s="2">
        <v>10164</v>
      </c>
      <c r="AD22" s="2">
        <v>12756</v>
      </c>
      <c r="AE22" s="2">
        <v>11420</v>
      </c>
      <c r="AF22" s="2">
        <v>11521</v>
      </c>
      <c r="AG22" s="2">
        <v>10653</v>
      </c>
      <c r="AH22" s="2">
        <v>11598</v>
      </c>
      <c r="AI22" s="2">
        <v>10888</v>
      </c>
      <c r="AJ22" s="2">
        <v>9595</v>
      </c>
      <c r="AK22" s="2">
        <v>9631</v>
      </c>
      <c r="AL22" s="2">
        <v>11251</v>
      </c>
      <c r="AM22" s="2">
        <v>9208</v>
      </c>
      <c r="AN22" s="2">
        <v>6947</v>
      </c>
      <c r="AO22" s="2">
        <v>6407</v>
      </c>
      <c r="AP22" s="2">
        <v>9068</v>
      </c>
      <c r="AQ22" s="2">
        <v>7726</v>
      </c>
      <c r="AR22" s="2">
        <v>4846</v>
      </c>
      <c r="AS22" s="2">
        <v>360</v>
      </c>
    </row>
    <row r="23" spans="1:45" ht="12.75">
      <c r="A23" s="240" t="s">
        <v>36</v>
      </c>
      <c r="B23" s="240"/>
      <c r="C23" s="240" t="s">
        <v>587</v>
      </c>
      <c r="E23" s="53" t="s">
        <v>260</v>
      </c>
      <c r="F23" s="5" t="s">
        <v>30</v>
      </c>
      <c r="G23" s="5" t="s">
        <v>30</v>
      </c>
      <c r="H23" s="5" t="s">
        <v>30</v>
      </c>
      <c r="I23" s="5" t="s">
        <v>30</v>
      </c>
      <c r="J23" s="5" t="s">
        <v>30</v>
      </c>
      <c r="K23" s="5" t="s">
        <v>30</v>
      </c>
      <c r="L23" s="5" t="s">
        <v>30</v>
      </c>
      <c r="M23" s="5" t="s">
        <v>30</v>
      </c>
      <c r="N23" s="5" t="s">
        <v>30</v>
      </c>
      <c r="O23" s="5" t="s">
        <v>30</v>
      </c>
      <c r="P23" s="5" t="s">
        <v>30</v>
      </c>
      <c r="Q23" s="5" t="s">
        <v>30</v>
      </c>
      <c r="R23" s="5" t="s">
        <v>30</v>
      </c>
      <c r="S23" s="5" t="s">
        <v>30</v>
      </c>
      <c r="T23" s="5" t="s">
        <v>30</v>
      </c>
      <c r="U23" s="5" t="s">
        <v>30</v>
      </c>
      <c r="V23" s="5" t="s">
        <v>30</v>
      </c>
      <c r="W23" s="5" t="s">
        <v>30</v>
      </c>
      <c r="X23" s="5" t="s">
        <v>30</v>
      </c>
      <c r="Y23" s="5" t="s">
        <v>30</v>
      </c>
      <c r="Z23" s="5" t="s">
        <v>30</v>
      </c>
      <c r="AA23" s="5" t="s">
        <v>30</v>
      </c>
      <c r="AB23" s="5" t="s">
        <v>30</v>
      </c>
      <c r="AC23" s="5" t="s">
        <v>30</v>
      </c>
      <c r="AD23" s="5" t="s">
        <v>30</v>
      </c>
      <c r="AE23" s="5" t="s">
        <v>30</v>
      </c>
      <c r="AF23" s="5" t="s">
        <v>30</v>
      </c>
      <c r="AG23" s="5" t="s">
        <v>30</v>
      </c>
      <c r="AH23" s="4">
        <v>0.9368336025848142</v>
      </c>
      <c r="AI23" s="4">
        <v>0.8284888144879013</v>
      </c>
      <c r="AJ23" s="4">
        <v>0.6269193074158772</v>
      </c>
      <c r="AK23" s="4">
        <v>0.5848311877580763</v>
      </c>
      <c r="AL23" s="4">
        <v>0.7258241403780401</v>
      </c>
      <c r="AM23" s="4">
        <v>0.5727080482647096</v>
      </c>
      <c r="AN23" s="4">
        <v>0.44</v>
      </c>
      <c r="AO23" s="4">
        <v>0.42699100299900034</v>
      </c>
      <c r="AP23" s="4">
        <v>0.6491516930345765</v>
      </c>
      <c r="AQ23" s="4">
        <v>0.5549490015802327</v>
      </c>
      <c r="AR23" s="4">
        <v>0.3077997967479675</v>
      </c>
      <c r="AS23" s="4">
        <v>0.02029541098207239</v>
      </c>
    </row>
    <row r="24" spans="1:45" ht="12.75">
      <c r="A24" s="240" t="s">
        <v>36</v>
      </c>
      <c r="B24" s="240"/>
      <c r="C24" s="240" t="s">
        <v>534</v>
      </c>
      <c r="E24" s="53" t="s">
        <v>549</v>
      </c>
      <c r="F24" s="5"/>
      <c r="G24" s="5"/>
      <c r="H24" s="5"/>
      <c r="I24" s="5"/>
      <c r="J24" s="5"/>
      <c r="K24" s="5"/>
      <c r="L24" s="5"/>
      <c r="M24" s="5"/>
      <c r="N24" s="5"/>
      <c r="O24" s="5"/>
      <c r="P24" s="5"/>
      <c r="Q24" s="5"/>
      <c r="R24" s="5"/>
      <c r="S24" s="5"/>
      <c r="T24" s="5"/>
      <c r="U24" s="5"/>
      <c r="V24" s="5"/>
      <c r="W24" s="5"/>
      <c r="X24" s="5"/>
      <c r="Y24" s="5"/>
      <c r="Z24" s="5"/>
      <c r="AA24" s="5"/>
      <c r="AB24" s="5"/>
      <c r="AC24" s="5"/>
      <c r="AD24" s="5">
        <v>286.17</v>
      </c>
      <c r="AE24" s="5">
        <v>286.17</v>
      </c>
      <c r="AF24" s="5">
        <v>286.17</v>
      </c>
      <c r="AG24" s="5">
        <v>286.212</v>
      </c>
      <c r="AH24" s="5">
        <v>286.21</v>
      </c>
      <c r="AI24" s="5">
        <v>286.32</v>
      </c>
      <c r="AJ24" s="5">
        <v>286.32</v>
      </c>
      <c r="AK24" s="5">
        <v>286.32</v>
      </c>
      <c r="AL24" s="5">
        <v>286.6</v>
      </c>
      <c r="AM24" s="5">
        <v>287.4</v>
      </c>
      <c r="AN24" s="5">
        <v>287.397</v>
      </c>
      <c r="AO24" s="5">
        <v>287.397</v>
      </c>
      <c r="AP24" s="5">
        <v>287.4</v>
      </c>
      <c r="AQ24" s="5">
        <v>287.4</v>
      </c>
      <c r="AR24" s="5">
        <v>287.4</v>
      </c>
      <c r="AS24" s="5">
        <v>287.4</v>
      </c>
    </row>
    <row r="25" spans="1:45" ht="12.75">
      <c r="A25" s="240" t="s">
        <v>36</v>
      </c>
      <c r="B25" s="240"/>
      <c r="C25" s="240" t="s">
        <v>596</v>
      </c>
      <c r="E25" s="29" t="s">
        <v>130</v>
      </c>
      <c r="F25" s="2">
        <v>56280</v>
      </c>
      <c r="G25" s="2">
        <v>55822</v>
      </c>
      <c r="H25" s="2">
        <v>57278</v>
      </c>
      <c r="I25" s="2">
        <v>57774</v>
      </c>
      <c r="J25" s="2">
        <v>55753</v>
      </c>
      <c r="K25" s="2">
        <v>55212</v>
      </c>
      <c r="L25" s="2">
        <v>56174</v>
      </c>
      <c r="M25" s="2">
        <v>54043</v>
      </c>
      <c r="N25" s="2">
        <v>53639</v>
      </c>
      <c r="O25" s="2">
        <v>49507</v>
      </c>
      <c r="P25" s="2">
        <v>49846</v>
      </c>
      <c r="Q25" s="2">
        <v>51058</v>
      </c>
      <c r="R25" s="2">
        <v>51058</v>
      </c>
      <c r="S25" s="2">
        <v>51181</v>
      </c>
      <c r="T25" s="2">
        <v>52349</v>
      </c>
      <c r="U25" s="2">
        <v>51803</v>
      </c>
      <c r="V25" s="2">
        <v>50665</v>
      </c>
      <c r="W25" s="2">
        <v>49926</v>
      </c>
      <c r="X25" s="2">
        <v>52693</v>
      </c>
      <c r="Y25" s="2">
        <v>56912</v>
      </c>
      <c r="Z25" s="2">
        <v>58166</v>
      </c>
      <c r="AA25" s="2">
        <v>58298</v>
      </c>
      <c r="AB25" s="2">
        <v>60235</v>
      </c>
      <c r="AC25" s="2">
        <v>61047</v>
      </c>
      <c r="AD25" s="2">
        <v>60660</v>
      </c>
      <c r="AE25" s="2">
        <v>60333</v>
      </c>
      <c r="AF25" s="2">
        <v>60834</v>
      </c>
      <c r="AG25" s="2">
        <v>61228</v>
      </c>
      <c r="AH25" s="2">
        <v>60632</v>
      </c>
      <c r="AI25" s="2">
        <v>59776</v>
      </c>
      <c r="AJ25" s="2">
        <v>58343</v>
      </c>
      <c r="AK25" s="2">
        <v>60695</v>
      </c>
      <c r="AL25" s="2">
        <v>59295</v>
      </c>
      <c r="AM25" s="2">
        <v>57675</v>
      </c>
      <c r="AN25" s="2">
        <v>57281</v>
      </c>
      <c r="AO25" s="2">
        <v>58440</v>
      </c>
      <c r="AP25" s="2">
        <v>55779</v>
      </c>
      <c r="AQ25" s="2">
        <v>55770</v>
      </c>
      <c r="AR25" s="2">
        <v>55290</v>
      </c>
      <c r="AS25" s="2">
        <v>54779</v>
      </c>
    </row>
    <row r="26" spans="1:3" ht="12.75">
      <c r="A26" s="240" t="s">
        <v>38</v>
      </c>
      <c r="B26" s="240"/>
      <c r="C26" s="240"/>
    </row>
    <row r="27" spans="1:38" ht="12.75">
      <c r="A27" s="243" t="s">
        <v>35</v>
      </c>
      <c r="B27" s="240"/>
      <c r="C27" s="240"/>
      <c r="E27" s="62" t="s">
        <v>595</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5" ht="12.75">
      <c r="A28" s="240" t="s">
        <v>36</v>
      </c>
      <c r="B28" s="240"/>
      <c r="C28" s="240"/>
      <c r="E28" s="29" t="s">
        <v>345</v>
      </c>
      <c r="F28" s="2">
        <v>757</v>
      </c>
      <c r="G28" s="2">
        <v>921</v>
      </c>
      <c r="H28" s="2">
        <v>1152</v>
      </c>
      <c r="I28" s="2">
        <v>2007</v>
      </c>
      <c r="J28" s="2">
        <v>-39</v>
      </c>
      <c r="K28" s="2">
        <v>793</v>
      </c>
      <c r="L28" s="2">
        <v>1178</v>
      </c>
      <c r="M28" s="2">
        <v>-389</v>
      </c>
      <c r="N28" s="2">
        <v>38</v>
      </c>
      <c r="O28" s="2">
        <v>1027</v>
      </c>
      <c r="P28" s="2">
        <v>2234</v>
      </c>
      <c r="Q28" s="2">
        <v>2023</v>
      </c>
      <c r="R28" s="2">
        <v>1326</v>
      </c>
      <c r="S28" s="2">
        <v>1477</v>
      </c>
      <c r="T28" s="2">
        <v>1977</v>
      </c>
      <c r="U28" s="2">
        <v>1714</v>
      </c>
      <c r="V28" s="2">
        <v>696</v>
      </c>
      <c r="W28" s="2">
        <v>745</v>
      </c>
      <c r="X28" s="2">
        <v>1098</v>
      </c>
      <c r="Y28" s="2">
        <v>616</v>
      </c>
      <c r="Z28" s="2">
        <v>907</v>
      </c>
      <c r="AA28" s="2">
        <v>1112</v>
      </c>
      <c r="AB28" s="2">
        <v>1423</v>
      </c>
      <c r="AC28" s="2">
        <v>1590</v>
      </c>
      <c r="AD28" s="2">
        <v>720</v>
      </c>
      <c r="AE28" s="2">
        <v>1037</v>
      </c>
      <c r="AF28" s="2">
        <v>1075</v>
      </c>
      <c r="AG28" s="2">
        <v>1223</v>
      </c>
      <c r="AH28" s="2">
        <v>749</v>
      </c>
      <c r="AI28" s="2">
        <v>1167</v>
      </c>
      <c r="AJ28" s="2">
        <v>1392</v>
      </c>
      <c r="AK28" s="2">
        <v>1472</v>
      </c>
      <c r="AL28" s="170" t="s">
        <v>30</v>
      </c>
      <c r="AM28" s="141" t="s">
        <v>30</v>
      </c>
      <c r="AN28" s="141" t="s">
        <v>30</v>
      </c>
      <c r="AO28" s="141" t="s">
        <v>30</v>
      </c>
      <c r="AP28" s="141" t="s">
        <v>30</v>
      </c>
      <c r="AQ28" s="141" t="s">
        <v>30</v>
      </c>
      <c r="AR28" s="141" t="s">
        <v>30</v>
      </c>
      <c r="AS28" s="141" t="s">
        <v>30</v>
      </c>
    </row>
    <row r="29" spans="1:45" ht="12.75">
      <c r="A29" s="240" t="s">
        <v>36</v>
      </c>
      <c r="B29" s="240"/>
      <c r="C29" s="240" t="s">
        <v>530</v>
      </c>
      <c r="E29" s="53" t="s">
        <v>550</v>
      </c>
      <c r="F29" s="3">
        <v>3.036502206177296</v>
      </c>
      <c r="G29" s="3">
        <v>3.571844095404305</v>
      </c>
      <c r="H29" s="3">
        <v>4.367938120876621</v>
      </c>
      <c r="I29" s="3">
        <v>7.260427594689434</v>
      </c>
      <c r="J29" s="3">
        <v>-0.16120365394948952</v>
      </c>
      <c r="K29" s="3">
        <v>3.0992300777738695</v>
      </c>
      <c r="L29" s="3">
        <v>4.47075790352575</v>
      </c>
      <c r="M29" s="3">
        <v>-1.357150333182151</v>
      </c>
      <c r="N29" s="3">
        <v>0.14718413509954295</v>
      </c>
      <c r="O29" s="3">
        <v>3.736991485335856</v>
      </c>
      <c r="P29" s="3">
        <v>8.089220407719882</v>
      </c>
      <c r="Q29" s="3">
        <v>7.169945064681907</v>
      </c>
      <c r="R29" s="3">
        <v>5.275932041539012</v>
      </c>
      <c r="S29" s="3">
        <v>5.408077331478159</v>
      </c>
      <c r="T29" s="3">
        <v>7.509686241738206</v>
      </c>
      <c r="U29" s="3">
        <v>6.2200609667586</v>
      </c>
      <c r="V29" s="3">
        <v>2.9697900665642605</v>
      </c>
      <c r="W29" s="3">
        <v>3.085780557511494</v>
      </c>
      <c r="X29" s="3">
        <v>4.280701754385965</v>
      </c>
      <c r="Y29" s="3">
        <v>2.1713842574641333</v>
      </c>
      <c r="Z29" s="3">
        <v>3.5053140096618356</v>
      </c>
      <c r="AA29" s="3">
        <v>4.005330836004754</v>
      </c>
      <c r="AB29" s="3">
        <v>5.237201427993081</v>
      </c>
      <c r="AC29" s="3">
        <v>5.448004111701216</v>
      </c>
      <c r="AD29" s="3">
        <v>2.8427037271004423</v>
      </c>
      <c r="AE29" s="3">
        <v>3.747199537471995</v>
      </c>
      <c r="AF29" s="3">
        <v>3.9437963166776724</v>
      </c>
      <c r="AG29" s="3">
        <v>4.233152192724378</v>
      </c>
      <c r="AH29" s="3">
        <v>2.9224706387295645</v>
      </c>
      <c r="AI29" s="3">
        <v>4.432206608431447</v>
      </c>
      <c r="AJ29" s="3">
        <v>4.836020011117288</v>
      </c>
      <c r="AK29" s="3">
        <v>4.687898089171974</v>
      </c>
      <c r="AL29" s="170" t="s">
        <v>30</v>
      </c>
      <c r="AM29" s="141" t="s">
        <v>30</v>
      </c>
      <c r="AN29" s="141" t="s">
        <v>30</v>
      </c>
      <c r="AO29" s="141" t="s">
        <v>30</v>
      </c>
      <c r="AP29" s="141" t="s">
        <v>30</v>
      </c>
      <c r="AQ29" s="141" t="s">
        <v>30</v>
      </c>
      <c r="AR29" s="141" t="s">
        <v>30</v>
      </c>
      <c r="AS29" s="141" t="s">
        <v>30</v>
      </c>
    </row>
    <row r="30" spans="1:45" ht="12.75">
      <c r="A30" s="240" t="s">
        <v>36</v>
      </c>
      <c r="B30" s="240"/>
      <c r="C30" s="240" t="s">
        <v>533</v>
      </c>
      <c r="E30" s="53" t="s">
        <v>551</v>
      </c>
      <c r="F30" s="7">
        <v>1.76</v>
      </c>
      <c r="G30" s="7">
        <v>2.05</v>
      </c>
      <c r="H30" s="7">
        <v>2.71</v>
      </c>
      <c r="I30" s="7">
        <v>5.14</v>
      </c>
      <c r="J30" s="7">
        <v>-0.5</v>
      </c>
      <c r="K30" s="7">
        <v>1.74</v>
      </c>
      <c r="L30" s="7">
        <v>2.9</v>
      </c>
      <c r="M30" s="7">
        <v>-1.82</v>
      </c>
      <c r="N30" s="7">
        <v>0.21</v>
      </c>
      <c r="O30" s="7">
        <v>2.23</v>
      </c>
      <c r="P30" s="7">
        <v>5.55</v>
      </c>
      <c r="Q30" s="7">
        <v>5.57</v>
      </c>
      <c r="R30" s="7">
        <v>3.45</v>
      </c>
      <c r="S30" s="7">
        <v>4.12</v>
      </c>
      <c r="T30" s="7">
        <v>4.85</v>
      </c>
      <c r="U30" s="7">
        <v>4.23</v>
      </c>
      <c r="V30" s="7">
        <v>1.6</v>
      </c>
      <c r="W30" s="7">
        <v>1.97</v>
      </c>
      <c r="X30" s="7">
        <v>2.96</v>
      </c>
      <c r="Y30" s="7">
        <v>1.01</v>
      </c>
      <c r="Z30" s="7">
        <v>1.76</v>
      </c>
      <c r="AA30" s="7">
        <v>2.44</v>
      </c>
      <c r="AB30" s="7">
        <v>3.22</v>
      </c>
      <c r="AC30" s="7">
        <v>3.94</v>
      </c>
      <c r="AD30" s="7">
        <v>1.48</v>
      </c>
      <c r="AE30" s="7">
        <v>2.24</v>
      </c>
      <c r="AF30" s="7">
        <v>2.2899999999999996</v>
      </c>
      <c r="AG30" s="7">
        <v>3.8000000000000007</v>
      </c>
      <c r="AH30" s="7">
        <v>1.55</v>
      </c>
      <c r="AI30" s="7">
        <v>2.8500000000000005</v>
      </c>
      <c r="AJ30" s="7">
        <v>3.26</v>
      </c>
      <c r="AK30" s="7">
        <v>3.6400000000000006</v>
      </c>
      <c r="AL30" s="170" t="s">
        <v>30</v>
      </c>
      <c r="AM30" s="141" t="s">
        <v>30</v>
      </c>
      <c r="AN30" s="141" t="s">
        <v>30</v>
      </c>
      <c r="AO30" s="141" t="s">
        <v>30</v>
      </c>
      <c r="AP30" s="141" t="s">
        <v>30</v>
      </c>
      <c r="AQ30" s="141" t="s">
        <v>30</v>
      </c>
      <c r="AR30" s="141" t="s">
        <v>30</v>
      </c>
      <c r="AS30" s="141" t="s">
        <v>30</v>
      </c>
    </row>
    <row r="31" spans="1:38" ht="12.75">
      <c r="A31" s="240" t="s">
        <v>38</v>
      </c>
      <c r="B31" s="240"/>
      <c r="C31" s="240"/>
      <c r="E31" s="29"/>
      <c r="F31" s="29"/>
      <c r="G31" s="29"/>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row>
    <row r="32" spans="1:45" s="153" customFormat="1" ht="12.75">
      <c r="A32" s="245" t="s">
        <v>35</v>
      </c>
      <c r="B32" s="245"/>
      <c r="C32" s="245"/>
      <c r="E32" s="154" t="s">
        <v>33</v>
      </c>
      <c r="F32" s="155" t="s">
        <v>0</v>
      </c>
      <c r="G32" s="155" t="s">
        <v>1</v>
      </c>
      <c r="H32" s="155" t="s">
        <v>2</v>
      </c>
      <c r="I32" s="155" t="s">
        <v>3</v>
      </c>
      <c r="J32" s="155" t="s">
        <v>4</v>
      </c>
      <c r="K32" s="155" t="s">
        <v>5</v>
      </c>
      <c r="L32" s="155" t="s">
        <v>6</v>
      </c>
      <c r="M32" s="155" t="s">
        <v>7</v>
      </c>
      <c r="N32" s="155" t="s">
        <v>8</v>
      </c>
      <c r="O32" s="155" t="s">
        <v>9</v>
      </c>
      <c r="P32" s="155" t="s">
        <v>338</v>
      </c>
      <c r="Q32" s="155" t="s">
        <v>355</v>
      </c>
      <c r="R32" s="155" t="s">
        <v>362</v>
      </c>
      <c r="S32" s="155" t="s">
        <v>367</v>
      </c>
      <c r="T32" s="155" t="s">
        <v>371</v>
      </c>
      <c r="U32" s="155" t="s">
        <v>372</v>
      </c>
      <c r="V32" s="155" t="s">
        <v>378</v>
      </c>
      <c r="W32" s="87" t="s">
        <v>397</v>
      </c>
      <c r="X32" s="87" t="s">
        <v>398</v>
      </c>
      <c r="Y32" s="87" t="s">
        <v>400</v>
      </c>
      <c r="Z32" s="87" t="s">
        <v>405</v>
      </c>
      <c r="AA32" s="87" t="s">
        <v>409</v>
      </c>
      <c r="AB32" s="87" t="s">
        <v>411</v>
      </c>
      <c r="AC32" s="87" t="s">
        <v>414</v>
      </c>
      <c r="AD32" s="87" t="s">
        <v>421</v>
      </c>
      <c r="AE32" s="87" t="s">
        <v>429</v>
      </c>
      <c r="AF32" s="87" t="s">
        <v>431</v>
      </c>
      <c r="AG32" s="87" t="s">
        <v>432</v>
      </c>
      <c r="AH32" s="87" t="s">
        <v>440</v>
      </c>
      <c r="AI32" s="87" t="s">
        <v>441</v>
      </c>
      <c r="AJ32" s="87" t="s">
        <v>442</v>
      </c>
      <c r="AK32" s="87" t="s">
        <v>443</v>
      </c>
      <c r="AL32" s="87" t="s">
        <v>445</v>
      </c>
      <c r="AM32" s="87" t="s">
        <v>447</v>
      </c>
      <c r="AN32" s="87" t="s">
        <v>448</v>
      </c>
      <c r="AO32" s="87" t="s">
        <v>467</v>
      </c>
      <c r="AP32" s="87" t="s">
        <v>469</v>
      </c>
      <c r="AQ32" s="87" t="s">
        <v>471</v>
      </c>
      <c r="AR32" s="87" t="s">
        <v>605</v>
      </c>
      <c r="AS32" s="87" t="s">
        <v>608</v>
      </c>
    </row>
    <row r="33" spans="1:5" s="33" customFormat="1" ht="12.75">
      <c r="A33" s="238" t="s">
        <v>571</v>
      </c>
      <c r="B33" s="238"/>
      <c r="C33" s="238"/>
      <c r="E33" s="33" t="s">
        <v>31</v>
      </c>
    </row>
    <row r="34" spans="1:45" ht="12.75">
      <c r="A34" s="240" t="s">
        <v>36</v>
      </c>
      <c r="B34" s="240"/>
      <c r="C34" s="240"/>
      <c r="E34" s="93" t="s">
        <v>10</v>
      </c>
      <c r="F34" s="2">
        <v>24930</v>
      </c>
      <c r="G34" s="2">
        <v>50715</v>
      </c>
      <c r="H34" s="2">
        <v>77089</v>
      </c>
      <c r="I34" s="2">
        <v>104732</v>
      </c>
      <c r="J34" s="2">
        <v>24193</v>
      </c>
      <c r="K34" s="2">
        <v>49780</v>
      </c>
      <c r="L34" s="2">
        <v>76129</v>
      </c>
      <c r="M34" s="2">
        <v>104792</v>
      </c>
      <c r="N34" s="2">
        <v>25818</v>
      </c>
      <c r="O34" s="2">
        <v>53300</v>
      </c>
      <c r="P34" s="2">
        <v>80917</v>
      </c>
      <c r="Q34" s="2">
        <v>109132</v>
      </c>
      <c r="R34" s="2">
        <v>25133</v>
      </c>
      <c r="S34" s="2">
        <v>52444</v>
      </c>
      <c r="T34" s="2">
        <v>78770</v>
      </c>
      <c r="U34" s="2">
        <v>106326</v>
      </c>
      <c r="V34" s="2">
        <v>23436</v>
      </c>
      <c r="W34" s="2">
        <v>47579</v>
      </c>
      <c r="X34" s="2">
        <v>73229</v>
      </c>
      <c r="Y34" s="2">
        <v>101598</v>
      </c>
      <c r="Z34" s="2">
        <v>25875</v>
      </c>
      <c r="AA34" s="2">
        <v>53638</v>
      </c>
      <c r="AB34" s="2">
        <v>80809</v>
      </c>
      <c r="AC34" s="2">
        <v>109994</v>
      </c>
      <c r="AD34" s="2">
        <v>25328</v>
      </c>
      <c r="AE34" s="2">
        <v>53002</v>
      </c>
      <c r="AF34" s="2">
        <v>80260</v>
      </c>
      <c r="AG34" s="2">
        <v>109151</v>
      </c>
      <c r="AH34" s="2">
        <v>25629</v>
      </c>
      <c r="AI34" s="2">
        <v>51959</v>
      </c>
      <c r="AJ34" s="2">
        <v>80743</v>
      </c>
      <c r="AK34" s="2">
        <v>112143</v>
      </c>
      <c r="AL34" s="2">
        <v>29087</v>
      </c>
      <c r="AM34" s="2">
        <v>60442</v>
      </c>
      <c r="AN34" s="2">
        <v>91717</v>
      </c>
      <c r="AO34" s="2">
        <v>123511</v>
      </c>
      <c r="AP34" s="2">
        <v>28114</v>
      </c>
      <c r="AQ34" s="2">
        <v>58097</v>
      </c>
      <c r="AR34" s="2">
        <v>88949</v>
      </c>
      <c r="AS34" s="2">
        <v>121093</v>
      </c>
    </row>
    <row r="35" spans="1:45" ht="12.75">
      <c r="A35" s="240" t="s">
        <v>36</v>
      </c>
      <c r="B35" s="240"/>
      <c r="C35" s="240" t="s">
        <v>530</v>
      </c>
      <c r="E35" s="93" t="s">
        <v>542</v>
      </c>
      <c r="F35" s="15">
        <v>7.5</v>
      </c>
      <c r="G35" s="15">
        <v>6.1</v>
      </c>
      <c r="H35" s="15">
        <v>5.4</v>
      </c>
      <c r="I35" s="15">
        <v>4</v>
      </c>
      <c r="J35" s="15">
        <v>-0.7</v>
      </c>
      <c r="K35" s="15">
        <v>1.1</v>
      </c>
      <c r="L35" s="15">
        <v>0.8</v>
      </c>
      <c r="M35" s="15">
        <v>-0.9</v>
      </c>
      <c r="N35" s="15">
        <v>-8.4</v>
      </c>
      <c r="O35" s="15">
        <v>-8</v>
      </c>
      <c r="P35" s="15">
        <v>-6.2</v>
      </c>
      <c r="Q35" s="15">
        <v>-4.8</v>
      </c>
      <c r="R35" s="15">
        <v>4.1</v>
      </c>
      <c r="S35" s="15">
        <v>3.5</v>
      </c>
      <c r="T35" s="15">
        <v>1.5</v>
      </c>
      <c r="U35" s="15">
        <v>1.5</v>
      </c>
      <c r="V35" s="15">
        <v>0.9</v>
      </c>
      <c r="W35" s="15">
        <v>-0.4</v>
      </c>
      <c r="X35" s="15">
        <v>0.2</v>
      </c>
      <c r="Y35" s="15">
        <v>0.2</v>
      </c>
      <c r="Z35" s="15">
        <v>3.5</v>
      </c>
      <c r="AA35" s="3">
        <v>4.7</v>
      </c>
      <c r="AB35" s="3">
        <v>4.6</v>
      </c>
      <c r="AC35" s="3">
        <v>5.5</v>
      </c>
      <c r="AD35" s="3">
        <v>3.8</v>
      </c>
      <c r="AE35" s="3">
        <v>4.9</v>
      </c>
      <c r="AF35" s="3">
        <v>4.9</v>
      </c>
      <c r="AG35" s="3">
        <v>4.5</v>
      </c>
      <c r="AH35" s="3">
        <v>4.5</v>
      </c>
      <c r="AI35" s="3">
        <v>0.2</v>
      </c>
      <c r="AJ35" s="3">
        <v>0.7</v>
      </c>
      <c r="AK35" s="3">
        <v>1.1</v>
      </c>
      <c r="AL35" s="3">
        <v>-0.5</v>
      </c>
      <c r="AM35" s="3">
        <v>3.1999999999999997</v>
      </c>
      <c r="AN35" s="3">
        <v>2.9</v>
      </c>
      <c r="AO35" s="3">
        <v>2.1999999999999997</v>
      </c>
      <c r="AP35" s="3">
        <v>1.7999999999999998</v>
      </c>
      <c r="AQ35" s="3">
        <v>0.30000000000000004</v>
      </c>
      <c r="AR35" s="3">
        <v>-0.4</v>
      </c>
      <c r="AS35" s="3">
        <v>-1.1</v>
      </c>
    </row>
    <row r="36" spans="1:45" ht="12.75">
      <c r="A36" s="240" t="s">
        <v>36</v>
      </c>
      <c r="B36" s="240"/>
      <c r="C36" s="240"/>
      <c r="E36" s="49" t="s">
        <v>508</v>
      </c>
      <c r="F36" s="2">
        <v>0</v>
      </c>
      <c r="G36" s="2">
        <v>-31</v>
      </c>
      <c r="H36" s="2">
        <v>-31</v>
      </c>
      <c r="I36" s="2">
        <v>-362</v>
      </c>
      <c r="J36" s="2">
        <v>34</v>
      </c>
      <c r="K36" s="2">
        <v>-505</v>
      </c>
      <c r="L36" s="2">
        <v>-397</v>
      </c>
      <c r="M36" s="2">
        <v>-355</v>
      </c>
      <c r="N36" s="2">
        <v>-424</v>
      </c>
      <c r="O36" s="2">
        <v>-399</v>
      </c>
      <c r="P36" s="2">
        <v>-343</v>
      </c>
      <c r="Q36" s="2">
        <v>-1561</v>
      </c>
      <c r="R36" s="2">
        <v>-95</v>
      </c>
      <c r="S36" s="2">
        <v>-302</v>
      </c>
      <c r="T36" s="2">
        <v>0</v>
      </c>
      <c r="U36" s="2">
        <v>-1064</v>
      </c>
      <c r="V36" s="2">
        <v>0</v>
      </c>
      <c r="W36" s="2">
        <v>0</v>
      </c>
      <c r="X36" s="2">
        <v>-34</v>
      </c>
      <c r="Y36" s="2">
        <v>-138</v>
      </c>
      <c r="Z36" s="2">
        <v>0</v>
      </c>
      <c r="AA36" s="2">
        <v>0</v>
      </c>
      <c r="AB36" s="2">
        <v>0</v>
      </c>
      <c r="AC36" s="2">
        <v>-1032</v>
      </c>
      <c r="AD36" s="2">
        <v>-82</v>
      </c>
      <c r="AE36" s="2">
        <v>-82</v>
      </c>
      <c r="AF36" s="2">
        <v>-82</v>
      </c>
      <c r="AG36" s="2">
        <v>-2475</v>
      </c>
      <c r="AH36" s="2">
        <v>-18</v>
      </c>
      <c r="AI36" s="2">
        <v>-1122</v>
      </c>
      <c r="AJ36" s="2">
        <v>-1122</v>
      </c>
      <c r="AK36" s="2">
        <v>-1199</v>
      </c>
      <c r="AL36" s="2">
        <v>-64</v>
      </c>
      <c r="AM36" s="2">
        <v>-258</v>
      </c>
      <c r="AN36" s="2">
        <v>-400</v>
      </c>
      <c r="AO36" s="2">
        <v>-2249</v>
      </c>
      <c r="AP36" s="141" t="s">
        <v>30</v>
      </c>
      <c r="AQ36" s="141" t="s">
        <v>30</v>
      </c>
      <c r="AR36" s="141" t="s">
        <v>30</v>
      </c>
      <c r="AS36" s="141" t="s">
        <v>30</v>
      </c>
    </row>
    <row r="37" spans="1:45" ht="12.75">
      <c r="A37" s="240" t="s">
        <v>36</v>
      </c>
      <c r="B37" s="240"/>
      <c r="C37" s="240"/>
      <c r="E37" s="93" t="s">
        <v>17</v>
      </c>
      <c r="F37" s="2">
        <v>757</v>
      </c>
      <c r="G37" s="2">
        <v>1647</v>
      </c>
      <c r="H37" s="2">
        <v>2799</v>
      </c>
      <c r="I37" s="2">
        <v>4475</v>
      </c>
      <c r="J37" s="2">
        <v>-5</v>
      </c>
      <c r="K37" s="2">
        <v>249</v>
      </c>
      <c r="L37" s="2">
        <v>1535</v>
      </c>
      <c r="M37" s="2">
        <v>1188</v>
      </c>
      <c r="N37" s="2">
        <v>-386</v>
      </c>
      <c r="O37" s="2">
        <v>666</v>
      </c>
      <c r="P37" s="2">
        <v>2956</v>
      </c>
      <c r="Q37" s="2">
        <v>3761</v>
      </c>
      <c r="R37" s="2">
        <v>1231</v>
      </c>
      <c r="S37" s="2">
        <v>2501</v>
      </c>
      <c r="T37" s="2">
        <v>4478</v>
      </c>
      <c r="U37" s="2">
        <v>5430</v>
      </c>
      <c r="V37" s="2">
        <v>696</v>
      </c>
      <c r="W37" s="2">
        <v>1441</v>
      </c>
      <c r="X37" s="2">
        <v>2505</v>
      </c>
      <c r="Y37" s="2">
        <v>3017</v>
      </c>
      <c r="Z37" s="2">
        <v>907</v>
      </c>
      <c r="AA37" s="2">
        <v>2019</v>
      </c>
      <c r="AB37" s="2">
        <v>3442</v>
      </c>
      <c r="AC37" s="2">
        <v>4000</v>
      </c>
      <c r="AD37" s="2">
        <v>638</v>
      </c>
      <c r="AE37" s="2">
        <v>1675</v>
      </c>
      <c r="AF37" s="2">
        <v>2750</v>
      </c>
      <c r="AG37" s="2">
        <v>1580</v>
      </c>
      <c r="AH37" s="2">
        <v>731</v>
      </c>
      <c r="AI37" s="2">
        <v>794</v>
      </c>
      <c r="AJ37" s="2">
        <v>2186</v>
      </c>
      <c r="AK37" s="2">
        <v>3581</v>
      </c>
      <c r="AL37" s="2">
        <v>516</v>
      </c>
      <c r="AM37" s="2">
        <v>1437</v>
      </c>
      <c r="AN37" s="2">
        <v>2943</v>
      </c>
      <c r="AO37" s="2">
        <v>2741</v>
      </c>
      <c r="AP37" s="2">
        <v>1268</v>
      </c>
      <c r="AQ37" s="2">
        <v>2832</v>
      </c>
      <c r="AR37" s="2">
        <v>4658</v>
      </c>
      <c r="AS37" s="2">
        <v>6274</v>
      </c>
    </row>
    <row r="38" spans="1:45" ht="12.75">
      <c r="A38" s="240" t="s">
        <v>36</v>
      </c>
      <c r="B38" s="240"/>
      <c r="C38" s="240" t="s">
        <v>530</v>
      </c>
      <c r="E38" s="166" t="s">
        <v>540</v>
      </c>
      <c r="F38" s="5">
        <v>3.036502206177296</v>
      </c>
      <c r="G38" s="5">
        <v>3.2475598935226264</v>
      </c>
      <c r="H38" s="5">
        <v>3.63086821725538</v>
      </c>
      <c r="I38" s="5">
        <v>4.272810602299202</v>
      </c>
      <c r="J38" s="5">
        <v>-0.020667135121729425</v>
      </c>
      <c r="K38" s="5">
        <v>0.5002008838891121</v>
      </c>
      <c r="L38" s="5">
        <v>2.016314413692548</v>
      </c>
      <c r="M38" s="5">
        <v>1.1336743262844493</v>
      </c>
      <c r="N38" s="5">
        <v>-1.4950809512743048</v>
      </c>
      <c r="O38" s="5">
        <v>1.2495309568480302</v>
      </c>
      <c r="P38" s="5">
        <v>3.653126042735148</v>
      </c>
      <c r="Q38" s="5">
        <v>3.446285232562402</v>
      </c>
      <c r="R38" s="5">
        <v>4.897942943540365</v>
      </c>
      <c r="S38" s="5">
        <v>4.768896346579209</v>
      </c>
      <c r="T38" s="5">
        <v>5.684905420845499</v>
      </c>
      <c r="U38" s="5">
        <v>5.10693527453304</v>
      </c>
      <c r="V38" s="5">
        <v>2.9697900665642605</v>
      </c>
      <c r="W38" s="5">
        <v>3.028647092204544</v>
      </c>
      <c r="X38" s="5">
        <v>3.4207759221073615</v>
      </c>
      <c r="Y38" s="5">
        <v>2.9695466446189887</v>
      </c>
      <c r="Z38" s="5">
        <v>3.5053140096618356</v>
      </c>
      <c r="AA38" s="5">
        <v>3.76412245050151</v>
      </c>
      <c r="AB38" s="5">
        <v>4.259426549023005</v>
      </c>
      <c r="AC38" s="5">
        <v>3.636561994290598</v>
      </c>
      <c r="AD38" s="5">
        <v>2.5189513581806695</v>
      </c>
      <c r="AE38" s="5">
        <v>3.1602581034677937</v>
      </c>
      <c r="AF38" s="5">
        <v>3.4263643159730877</v>
      </c>
      <c r="AG38" s="5">
        <v>1.4475359822631035</v>
      </c>
      <c r="AH38" s="5">
        <v>2.8522376994810568</v>
      </c>
      <c r="AI38" s="5">
        <v>1.5281279470351623</v>
      </c>
      <c r="AJ38" s="5">
        <v>2.7073554363845784</v>
      </c>
      <c r="AK38" s="5">
        <v>3.193244339816128</v>
      </c>
      <c r="AL38" s="5">
        <v>1.7739883796885205</v>
      </c>
      <c r="AM38" s="5">
        <v>2.4</v>
      </c>
      <c r="AN38" s="5">
        <v>3.2</v>
      </c>
      <c r="AO38" s="5">
        <v>2.2192355336771623</v>
      </c>
      <c r="AP38" s="5">
        <v>4.510208437077613</v>
      </c>
      <c r="AQ38" s="5">
        <v>4.874606261941236</v>
      </c>
      <c r="AR38" s="5">
        <v>5.236708675758019</v>
      </c>
      <c r="AS38" s="5">
        <v>5.18114176707159</v>
      </c>
    </row>
    <row r="39" spans="1:45" ht="12.75">
      <c r="A39" s="240" t="s">
        <v>36</v>
      </c>
      <c r="B39" s="240"/>
      <c r="C39" s="240"/>
      <c r="E39" s="166" t="s">
        <v>19</v>
      </c>
      <c r="F39" s="8">
        <v>670</v>
      </c>
      <c r="G39" s="8">
        <v>1422</v>
      </c>
      <c r="H39" s="8">
        <v>2459</v>
      </c>
      <c r="I39" s="8">
        <v>4035</v>
      </c>
      <c r="J39" s="8">
        <v>-149</v>
      </c>
      <c r="K39" s="8">
        <v>-9</v>
      </c>
      <c r="L39" s="8">
        <v>1183</v>
      </c>
      <c r="M39" s="8">
        <v>653</v>
      </c>
      <c r="N39" s="8">
        <v>-493</v>
      </c>
      <c r="O39" s="2">
        <v>439</v>
      </c>
      <c r="P39" s="2">
        <v>2683</v>
      </c>
      <c r="Q39" s="2">
        <v>3484</v>
      </c>
      <c r="R39" s="2">
        <v>1211</v>
      </c>
      <c r="S39" s="2">
        <v>2480</v>
      </c>
      <c r="T39" s="2">
        <v>4381</v>
      </c>
      <c r="U39" s="2">
        <v>5306</v>
      </c>
      <c r="V39" s="2">
        <v>637</v>
      </c>
      <c r="W39" s="2">
        <v>1333</v>
      </c>
      <c r="X39" s="2">
        <v>2452</v>
      </c>
      <c r="Y39" s="2">
        <v>2780</v>
      </c>
      <c r="Z39" s="2">
        <f>+Z13</f>
        <v>712</v>
      </c>
      <c r="AA39" s="2">
        <f>+Z39+AA13</f>
        <v>1622</v>
      </c>
      <c r="AB39" s="2">
        <f>+AA39+AB13</f>
        <v>2792</v>
      </c>
      <c r="AC39" s="2">
        <f>+AB39+AC13</f>
        <v>3154</v>
      </c>
      <c r="AD39" s="2">
        <v>483</v>
      </c>
      <c r="AE39" s="2">
        <v>1342</v>
      </c>
      <c r="AF39" s="2">
        <v>2226</v>
      </c>
      <c r="AG39" s="2">
        <v>904</v>
      </c>
      <c r="AH39" s="2">
        <v>575</v>
      </c>
      <c r="AI39" s="2">
        <v>455</v>
      </c>
      <c r="AJ39" s="2">
        <v>1705</v>
      </c>
      <c r="AK39" s="2">
        <v>2997</v>
      </c>
      <c r="AL39" s="2">
        <v>450</v>
      </c>
      <c r="AM39" s="2">
        <v>1265</v>
      </c>
      <c r="AN39" s="2">
        <v>2626</v>
      </c>
      <c r="AO39" s="2">
        <v>2101</v>
      </c>
      <c r="AP39" s="2">
        <v>1163</v>
      </c>
      <c r="AQ39" s="2">
        <v>2611</v>
      </c>
      <c r="AR39" s="2">
        <v>4336</v>
      </c>
      <c r="AS39" s="2">
        <v>5581</v>
      </c>
    </row>
    <row r="40" spans="1:45" ht="12.75">
      <c r="A40" s="240" t="s">
        <v>36</v>
      </c>
      <c r="B40" s="240"/>
      <c r="C40" s="240"/>
      <c r="E40" s="166" t="s">
        <v>21</v>
      </c>
      <c r="F40" s="8">
        <v>492</v>
      </c>
      <c r="G40" s="8">
        <v>1037</v>
      </c>
      <c r="H40" s="8">
        <v>1799</v>
      </c>
      <c r="I40" s="8">
        <v>2925</v>
      </c>
      <c r="J40" s="8">
        <v>-106</v>
      </c>
      <c r="K40" s="8">
        <v>-7</v>
      </c>
      <c r="L40" s="8">
        <v>840</v>
      </c>
      <c r="M40" s="8">
        <v>366</v>
      </c>
      <c r="N40" s="8">
        <v>-346</v>
      </c>
      <c r="O40" s="2">
        <v>312</v>
      </c>
      <c r="P40" s="2">
        <v>1943</v>
      </c>
      <c r="Q40" s="2">
        <v>2607</v>
      </c>
      <c r="R40" s="2">
        <v>911</v>
      </c>
      <c r="S40" s="2">
        <v>1939</v>
      </c>
      <c r="T40" s="2">
        <v>3320</v>
      </c>
      <c r="U40" s="2">
        <v>3997</v>
      </c>
      <c r="V40" s="2">
        <v>457</v>
      </c>
      <c r="W40" s="2">
        <v>1018</v>
      </c>
      <c r="X40" s="2">
        <v>1843</v>
      </c>
      <c r="Y40" s="2">
        <v>2064</v>
      </c>
      <c r="Z40" s="2">
        <v>499</v>
      </c>
      <c r="AA40" s="2">
        <v>1200</v>
      </c>
      <c r="AB40" s="2">
        <v>2123</v>
      </c>
      <c r="AC40" s="2">
        <v>2365</v>
      </c>
      <c r="AD40" s="2">
        <v>361</v>
      </c>
      <c r="AE40" s="2">
        <v>1003</v>
      </c>
      <c r="AF40" s="2">
        <v>1659</v>
      </c>
      <c r="AG40" s="2">
        <v>672</v>
      </c>
      <c r="AH40" s="2">
        <v>431</v>
      </c>
      <c r="AI40" s="2">
        <v>339</v>
      </c>
      <c r="AJ40" s="2">
        <v>1272</v>
      </c>
      <c r="AK40" s="2">
        <v>2242</v>
      </c>
      <c r="AL40" s="2">
        <v>339</v>
      </c>
      <c r="AM40" s="2">
        <v>947</v>
      </c>
      <c r="AN40" s="2">
        <v>1961</v>
      </c>
      <c r="AO40" s="2">
        <v>1568</v>
      </c>
      <c r="AP40" s="2">
        <v>875</v>
      </c>
      <c r="AQ40" s="2">
        <v>1954</v>
      </c>
      <c r="AR40" s="2">
        <v>3221</v>
      </c>
      <c r="AS40" s="2">
        <v>4493</v>
      </c>
    </row>
    <row r="41" spans="1:45" ht="12.75">
      <c r="A41" s="240" t="s">
        <v>36</v>
      </c>
      <c r="B41" s="240"/>
      <c r="C41" s="240"/>
      <c r="E41" s="29" t="s">
        <v>302</v>
      </c>
      <c r="F41" s="2">
        <v>-788</v>
      </c>
      <c r="G41" s="2">
        <v>-1720</v>
      </c>
      <c r="H41" s="2">
        <v>-2535</v>
      </c>
      <c r="I41" s="2">
        <v>-3430</v>
      </c>
      <c r="J41" s="2">
        <v>-497</v>
      </c>
      <c r="K41" s="2">
        <v>-1276</v>
      </c>
      <c r="L41" s="2">
        <v>-2127</v>
      </c>
      <c r="M41" s="2">
        <v>-3158</v>
      </c>
      <c r="N41" s="2">
        <v>-514</v>
      </c>
      <c r="O41" s="2">
        <v>-918</v>
      </c>
      <c r="P41" s="2">
        <v>-1408</v>
      </c>
      <c r="Q41" s="2">
        <v>-2223</v>
      </c>
      <c r="R41" s="2">
        <v>-438</v>
      </c>
      <c r="S41" s="2">
        <v>-1203</v>
      </c>
      <c r="T41" s="2">
        <v>-2061</v>
      </c>
      <c r="U41" s="2">
        <v>-3221</v>
      </c>
      <c r="V41" s="2">
        <v>-540</v>
      </c>
      <c r="W41" s="2">
        <v>-1281</v>
      </c>
      <c r="X41" s="2">
        <v>-2138</v>
      </c>
      <c r="Y41" s="2">
        <v>-3163</v>
      </c>
      <c r="Z41" s="2">
        <v>-784</v>
      </c>
      <c r="AA41" s="2">
        <v>-1817</v>
      </c>
      <c r="AB41" s="2">
        <v>-2815</v>
      </c>
      <c r="AC41" s="2">
        <v>-4090</v>
      </c>
      <c r="AD41" s="2">
        <v>-685</v>
      </c>
      <c r="AE41" s="2">
        <v>-1501</v>
      </c>
      <c r="AF41" s="2">
        <v>-2346</v>
      </c>
      <c r="AG41" s="2">
        <v>-3535</v>
      </c>
      <c r="AH41" s="2">
        <v>-489</v>
      </c>
      <c r="AI41" s="2">
        <v>-1120</v>
      </c>
      <c r="AJ41" s="2">
        <v>-1854</v>
      </c>
      <c r="AK41" s="2">
        <v>-3006</v>
      </c>
      <c r="AL41" s="2">
        <v>-656</v>
      </c>
      <c r="AM41" s="2">
        <v>-1327</v>
      </c>
      <c r="AN41" s="2">
        <v>-1945</v>
      </c>
      <c r="AO41" s="2">
        <v>-3027</v>
      </c>
      <c r="AP41" s="2">
        <v>-539</v>
      </c>
      <c r="AQ41" s="2">
        <v>-1093</v>
      </c>
      <c r="AR41" s="2">
        <v>-1759</v>
      </c>
      <c r="AS41" s="2">
        <v>-2830</v>
      </c>
    </row>
    <row r="42" spans="1:45" ht="12.75">
      <c r="A42" s="240" t="s">
        <v>36</v>
      </c>
      <c r="B42" s="240"/>
      <c r="C42" s="240"/>
      <c r="E42" s="49" t="s">
        <v>516</v>
      </c>
      <c r="F42" s="2">
        <v>-431</v>
      </c>
      <c r="G42" s="2">
        <v>-681</v>
      </c>
      <c r="H42" s="2">
        <v>179</v>
      </c>
      <c r="I42" s="2">
        <v>2363</v>
      </c>
      <c r="J42" s="2">
        <v>130</v>
      </c>
      <c r="K42" s="2">
        <v>1537</v>
      </c>
      <c r="L42" s="2">
        <v>1242</v>
      </c>
      <c r="M42" s="2">
        <v>2875</v>
      </c>
      <c r="N42" s="2">
        <v>233</v>
      </c>
      <c r="O42" s="2">
        <v>4155</v>
      </c>
      <c r="P42" s="2">
        <v>7587</v>
      </c>
      <c r="Q42" s="2">
        <v>6603</v>
      </c>
      <c r="R42" s="2">
        <v>-122</v>
      </c>
      <c r="S42" s="2">
        <v>2859</v>
      </c>
      <c r="T42" s="2">
        <v>3897</v>
      </c>
      <c r="U42" s="2">
        <v>4587</v>
      </c>
      <c r="V42" s="2">
        <v>-976</v>
      </c>
      <c r="W42" s="2">
        <v>462</v>
      </c>
      <c r="X42" s="2">
        <v>1768</v>
      </c>
      <c r="Y42" s="2">
        <v>2745</v>
      </c>
      <c r="Z42" s="2">
        <v>-43</v>
      </c>
      <c r="AA42" s="2">
        <v>3563</v>
      </c>
      <c r="AB42" s="2">
        <v>3333</v>
      </c>
      <c r="AC42" s="2">
        <v>4779</v>
      </c>
      <c r="AD42" s="2">
        <v>-2847</v>
      </c>
      <c r="AE42" s="2">
        <v>-340</v>
      </c>
      <c r="AF42" s="2">
        <v>567</v>
      </c>
      <c r="AG42" s="2">
        <v>1809</v>
      </c>
      <c r="AH42" s="2">
        <v>-123</v>
      </c>
      <c r="AI42" s="2">
        <v>3184</v>
      </c>
      <c r="AJ42" s="2">
        <v>4787</v>
      </c>
      <c r="AK42" s="2">
        <v>6631</v>
      </c>
      <c r="AL42" s="9">
        <v>-591</v>
      </c>
      <c r="AM42" s="9">
        <v>2402</v>
      </c>
      <c r="AN42" s="9">
        <v>4343</v>
      </c>
      <c r="AO42" s="9">
        <v>6745</v>
      </c>
      <c r="AP42" s="2">
        <v>-580</v>
      </c>
      <c r="AQ42" s="2">
        <v>3561</v>
      </c>
      <c r="AR42" s="2">
        <v>6526</v>
      </c>
      <c r="AS42" s="2">
        <v>9140</v>
      </c>
    </row>
    <row r="43" spans="1:45" ht="12.75">
      <c r="A43" s="240" t="s">
        <v>36</v>
      </c>
      <c r="B43" s="240"/>
      <c r="C43" s="240" t="s">
        <v>533</v>
      </c>
      <c r="E43" s="29" t="s">
        <v>536</v>
      </c>
      <c r="F43" s="4">
        <v>1.76</v>
      </c>
      <c r="G43" s="4">
        <v>3.7</v>
      </c>
      <c r="H43" s="4">
        <v>6.41</v>
      </c>
      <c r="I43" s="4">
        <v>10.41</v>
      </c>
      <c r="J43" s="4">
        <v>-0.38</v>
      </c>
      <c r="K43" s="4">
        <v>-0.02</v>
      </c>
      <c r="L43" s="4">
        <v>2.97</v>
      </c>
      <c r="M43" s="4">
        <v>1.29</v>
      </c>
      <c r="N43" s="4">
        <v>-1.22</v>
      </c>
      <c r="O43" s="4">
        <v>1.1</v>
      </c>
      <c r="P43" s="4">
        <v>6.84</v>
      </c>
      <c r="Q43" s="4">
        <v>9.18</v>
      </c>
      <c r="R43" s="4">
        <v>3.2</v>
      </c>
      <c r="S43" s="4">
        <v>6.81</v>
      </c>
      <c r="T43" s="4">
        <v>11.66</v>
      </c>
      <c r="U43" s="4">
        <v>14.04</v>
      </c>
      <c r="V43" s="4">
        <v>1.61</v>
      </c>
      <c r="W43" s="4">
        <v>3.58</v>
      </c>
      <c r="X43" s="4">
        <v>6.48</v>
      </c>
      <c r="Y43" s="4">
        <v>7.25</v>
      </c>
      <c r="Z43" s="4">
        <v>1.76</v>
      </c>
      <c r="AA43" s="4">
        <v>4.2</v>
      </c>
      <c r="AB43" s="4">
        <v>7.42</v>
      </c>
      <c r="AC43" s="4">
        <v>8.26</v>
      </c>
      <c r="AD43" s="4">
        <v>1.26</v>
      </c>
      <c r="AE43" s="4">
        <v>3.5</v>
      </c>
      <c r="AF43" s="4">
        <v>5.79</v>
      </c>
      <c r="AG43" s="4">
        <v>2.35</v>
      </c>
      <c r="AH43" s="4">
        <v>1.5</v>
      </c>
      <c r="AI43" s="4">
        <v>1.18</v>
      </c>
      <c r="AJ43" s="4">
        <v>4.44</v>
      </c>
      <c r="AK43" s="4">
        <v>7.83</v>
      </c>
      <c r="AL43" s="4">
        <v>1.18</v>
      </c>
      <c r="AM43" s="4">
        <v>3.3</v>
      </c>
      <c r="AN43" s="4">
        <v>6.83</v>
      </c>
      <c r="AO43" s="4">
        <v>5.45</v>
      </c>
      <c r="AP43" s="4">
        <v>3.04</v>
      </c>
      <c r="AQ43" s="4">
        <v>6.8</v>
      </c>
      <c r="AR43" s="4">
        <v>11.21</v>
      </c>
      <c r="AS43" s="4">
        <v>15.64</v>
      </c>
    </row>
    <row r="44" spans="1:45" ht="12.75">
      <c r="A44" s="240" t="s">
        <v>36</v>
      </c>
      <c r="B44" s="240"/>
      <c r="C44" s="240" t="s">
        <v>533</v>
      </c>
      <c r="E44" s="29" t="s">
        <v>554</v>
      </c>
      <c r="F44" s="4">
        <v>51.78</v>
      </c>
      <c r="G44" s="4">
        <v>49.63</v>
      </c>
      <c r="H44" s="4">
        <v>50.99</v>
      </c>
      <c r="I44" s="4">
        <v>56.95</v>
      </c>
      <c r="J44" s="4">
        <v>52.32</v>
      </c>
      <c r="K44" s="4">
        <v>50.63</v>
      </c>
      <c r="L44" s="4">
        <v>56.43</v>
      </c>
      <c r="M44" s="4">
        <v>57.77880351463261</v>
      </c>
      <c r="N44" s="4">
        <v>57.35564474613972</v>
      </c>
      <c r="O44" s="4">
        <v>60.672660021228246</v>
      </c>
      <c r="P44" s="4">
        <v>61.48528461392273</v>
      </c>
      <c r="Q44" s="4">
        <v>66.24324175924457</v>
      </c>
      <c r="R44" s="4">
        <v>64.24362628613234</v>
      </c>
      <c r="S44" s="4">
        <v>69.23220122325935</v>
      </c>
      <c r="T44" s="4">
        <v>69.30948498756379</v>
      </c>
      <c r="U44" s="4">
        <v>72.41137425487341</v>
      </c>
      <c r="V44" s="4">
        <v>64.44412073476218</v>
      </c>
      <c r="W44" s="4">
        <v>68.40667010455294</v>
      </c>
      <c r="X44" s="4">
        <v>72.3727323727212</v>
      </c>
      <c r="Y44" s="4">
        <v>72.52027410457511</v>
      </c>
      <c r="Z44" s="4">
        <v>58.19</v>
      </c>
      <c r="AA44" s="4">
        <v>59.6</v>
      </c>
      <c r="AB44" s="4">
        <v>56.37</v>
      </c>
      <c r="AC44" s="4">
        <v>54.96</v>
      </c>
      <c r="AD44" s="4">
        <v>50.413680427382786</v>
      </c>
      <c r="AE44" s="4">
        <v>55.560216630619315</v>
      </c>
      <c r="AF44" s="4">
        <v>53.38350835739106</v>
      </c>
      <c r="AG44" s="4">
        <v>49.990918095264824</v>
      </c>
      <c r="AH44" s="4">
        <v>43.23827070052118</v>
      </c>
      <c r="AI44" s="4">
        <v>45.89962468063403</v>
      </c>
      <c r="AJ44" s="4">
        <v>53.454097986387445</v>
      </c>
      <c r="AK44" s="4">
        <v>57.51598076705838</v>
      </c>
      <c r="AL44" s="4">
        <v>53.93576039035837</v>
      </c>
      <c r="AM44" s="4">
        <v>55.943433040202684</v>
      </c>
      <c r="AN44" s="4">
        <v>55.24</v>
      </c>
      <c r="AO44" s="4">
        <v>52.20992740193067</v>
      </c>
      <c r="AP44" s="4">
        <v>48.60516333739217</v>
      </c>
      <c r="AQ44" s="4">
        <v>48.44162674373068</v>
      </c>
      <c r="AR44" s="4">
        <v>54.78127937460823</v>
      </c>
      <c r="AS44" s="4">
        <v>61.719406348247</v>
      </c>
    </row>
    <row r="45" spans="1:45" ht="12.75">
      <c r="A45" s="240" t="s">
        <v>36</v>
      </c>
      <c r="B45" s="240"/>
      <c r="C45" s="240" t="s">
        <v>547</v>
      </c>
      <c r="E45" s="53" t="s">
        <v>548</v>
      </c>
      <c r="F45" s="5">
        <v>5.170422721268164</v>
      </c>
      <c r="G45" s="5">
        <v>5.0191530054644815</v>
      </c>
      <c r="H45" s="5">
        <v>4.985033583422652</v>
      </c>
      <c r="I45" s="5">
        <v>5.078624357541899</v>
      </c>
      <c r="J45" s="5">
        <v>4.8386000000000005</v>
      </c>
      <c r="K45" s="5">
        <v>4.997991967871486</v>
      </c>
      <c r="L45" s="5">
        <v>5.009139413680781</v>
      </c>
      <c r="M45" s="5">
        <v>5.116107744107744</v>
      </c>
      <c r="N45" s="5">
        <v>4.902190681888306</v>
      </c>
      <c r="O45" s="5">
        <v>5.15224746254229</v>
      </c>
      <c r="P45" s="5">
        <v>5.44039264793633</v>
      </c>
      <c r="Q45" s="5">
        <v>5.622281611230962</v>
      </c>
      <c r="R45" s="5">
        <v>5.071098892784181</v>
      </c>
      <c r="S45" s="5">
        <v>5.310515923244392</v>
      </c>
      <c r="T45" s="5">
        <v>5.370513989619643</v>
      </c>
      <c r="U45" s="5">
        <v>5.443577900552486</v>
      </c>
      <c r="V45" s="5">
        <v>4.6467931034482755</v>
      </c>
      <c r="W45" s="5">
        <v>4.655544066620402</v>
      </c>
      <c r="X45" s="5">
        <v>4.648068263473054</v>
      </c>
      <c r="Y45" s="5">
        <v>4.613498839907193</v>
      </c>
      <c r="Z45" s="5">
        <v>3.7086549062844543</v>
      </c>
      <c r="AA45" s="5">
        <v>3.8787261020307087</v>
      </c>
      <c r="AB45" s="5">
        <v>3.9441929110981984</v>
      </c>
      <c r="AC45" s="5">
        <v>4.069778</v>
      </c>
      <c r="AD45" s="5">
        <v>3.688431783016292</v>
      </c>
      <c r="AE45" s="5">
        <v>3.8095991087312</v>
      </c>
      <c r="AF45" s="5">
        <v>3.8814198665248085</v>
      </c>
      <c r="AG45" s="5">
        <v>4.020572323134655</v>
      </c>
      <c r="AH45" s="5">
        <v>4.036062992125983</v>
      </c>
      <c r="AI45" s="5">
        <v>4.166163303487907</v>
      </c>
      <c r="AJ45" s="5">
        <v>6.476927704802968</v>
      </c>
      <c r="AK45" s="5">
        <v>4.456166702429487</v>
      </c>
      <c r="AL45" s="5">
        <v>4.252563095085802</v>
      </c>
      <c r="AM45" s="5">
        <v>4.532866695831511</v>
      </c>
      <c r="AN45" s="5">
        <v>4.8</v>
      </c>
      <c r="AO45" s="5">
        <v>4.970621614442897</v>
      </c>
      <c r="AP45" s="5">
        <v>5.060001349861639</v>
      </c>
      <c r="AQ45" s="5">
        <v>5.273794574640302</v>
      </c>
      <c r="AR45" s="5">
        <v>5.472500682532174</v>
      </c>
      <c r="AS45" s="5">
        <v>5.778164813666078</v>
      </c>
    </row>
    <row r="46" spans="1:45" ht="12.75">
      <c r="A46" s="240" t="s">
        <v>36</v>
      </c>
      <c r="B46" s="240"/>
      <c r="C46" s="240" t="s">
        <v>530</v>
      </c>
      <c r="E46" s="29" t="s">
        <v>552</v>
      </c>
      <c r="F46" s="5">
        <v>15.7</v>
      </c>
      <c r="G46" s="5">
        <v>16.3</v>
      </c>
      <c r="H46" s="5">
        <v>18.1</v>
      </c>
      <c r="I46" s="5">
        <v>21.7</v>
      </c>
      <c r="J46" s="5">
        <v>-0.1</v>
      </c>
      <c r="K46" s="5">
        <v>2.5</v>
      </c>
      <c r="L46" s="5">
        <v>10.1</v>
      </c>
      <c r="M46" s="5">
        <v>5.8</v>
      </c>
      <c r="N46" s="5">
        <v>-7.329171908005601</v>
      </c>
      <c r="O46" s="5">
        <v>6.437892701788303</v>
      </c>
      <c r="P46" s="5">
        <v>19.87444006488104</v>
      </c>
      <c r="Q46" s="5">
        <v>19.37598609009241</v>
      </c>
      <c r="R46" s="5">
        <v>24.83795303790764</v>
      </c>
      <c r="S46" s="5">
        <v>25.325299984810894</v>
      </c>
      <c r="T46" s="5">
        <v>30.530864092315298</v>
      </c>
      <c r="U46" s="5">
        <v>27.8</v>
      </c>
      <c r="V46" s="5">
        <v>13.8</v>
      </c>
      <c r="W46" s="5">
        <v>14.1</v>
      </c>
      <c r="X46" s="5">
        <v>15.9</v>
      </c>
      <c r="Y46" s="5">
        <v>13.7</v>
      </c>
      <c r="Z46" s="5">
        <v>13</v>
      </c>
      <c r="AA46" s="5">
        <v>14.6</v>
      </c>
      <c r="AB46" s="5">
        <v>16.8</v>
      </c>
      <c r="AC46" s="5">
        <v>14.8</v>
      </c>
      <c r="AD46" s="5">
        <v>9.290980249385637</v>
      </c>
      <c r="AE46" s="5">
        <v>12.039316454331459</v>
      </c>
      <c r="AF46" s="5">
        <v>13.299158525969629</v>
      </c>
      <c r="AG46" s="5">
        <v>5.81992310702857</v>
      </c>
      <c r="AH46" s="5">
        <v>11.511811023622046</v>
      </c>
      <c r="AI46" s="5">
        <v>6.366430575972204</v>
      </c>
      <c r="AJ46" s="5">
        <v>17.535345432668205</v>
      </c>
      <c r="AK46" s="5">
        <v>14.22962909981006</v>
      </c>
      <c r="AL46" s="5">
        <v>7.543997514574461</v>
      </c>
      <c r="AM46" s="5">
        <v>10.776826448346979</v>
      </c>
      <c r="AN46" s="5">
        <v>15.3</v>
      </c>
      <c r="AO46" s="5">
        <v>11.03098011123542</v>
      </c>
      <c r="AP46" s="5">
        <v>22.821660779770074</v>
      </c>
      <c r="AQ46" s="5">
        <v>25.707672057733333</v>
      </c>
      <c r="AR46" s="5">
        <v>28.657891802307915</v>
      </c>
      <c r="AS46" s="5">
        <v>29.937491053108744</v>
      </c>
    </row>
    <row r="47" spans="1:45" ht="12.75">
      <c r="A47" s="240" t="s">
        <v>36</v>
      </c>
      <c r="B47" s="240"/>
      <c r="C47" s="240" t="s">
        <v>530</v>
      </c>
      <c r="E47" s="29" t="s">
        <v>553</v>
      </c>
      <c r="F47" s="5">
        <v>14.2</v>
      </c>
      <c r="G47" s="5">
        <v>14.9</v>
      </c>
      <c r="H47" s="5">
        <v>17.1</v>
      </c>
      <c r="I47" s="5">
        <v>20.3</v>
      </c>
      <c r="J47" s="5">
        <v>-2.7</v>
      </c>
      <c r="K47" s="5">
        <v>-0.1</v>
      </c>
      <c r="L47" s="5">
        <v>7.4</v>
      </c>
      <c r="M47" s="5">
        <v>2.4</v>
      </c>
      <c r="N47" s="5">
        <v>-8.477794793261868</v>
      </c>
      <c r="O47" s="5">
        <v>3.863856839150447</v>
      </c>
      <c r="P47" s="5">
        <v>15.660435336728575</v>
      </c>
      <c r="Q47" s="5">
        <v>14.899697090929873</v>
      </c>
      <c r="R47" s="5">
        <v>19.63573660954844</v>
      </c>
      <c r="S47" s="5">
        <v>20.473743488666763</v>
      </c>
      <c r="T47" s="5">
        <v>23.129642692304344</v>
      </c>
      <c r="U47" s="5">
        <v>20.6</v>
      </c>
      <c r="V47" s="5">
        <v>9.4</v>
      </c>
      <c r="W47" s="5">
        <v>10.4</v>
      </c>
      <c r="X47" s="5">
        <v>12.4</v>
      </c>
      <c r="Y47" s="5">
        <v>10.4</v>
      </c>
      <c r="Z47" s="5">
        <v>11.6</v>
      </c>
      <c r="AA47" s="5">
        <v>14</v>
      </c>
      <c r="AB47" s="5">
        <v>16.8</v>
      </c>
      <c r="AC47" s="5">
        <v>14.4</v>
      </c>
      <c r="AD47" s="5">
        <v>9.5771845465097</v>
      </c>
      <c r="AE47" s="5">
        <v>13.06641769980676</v>
      </c>
      <c r="AF47" s="5">
        <v>14.425459762619017</v>
      </c>
      <c r="AG47" s="5">
        <v>4.44185923536566</v>
      </c>
      <c r="AH47" s="5">
        <v>12.919664268585132</v>
      </c>
      <c r="AI47" s="5">
        <v>5.106703489831785</v>
      </c>
      <c r="AJ47" s="5">
        <v>18.693511646704387</v>
      </c>
      <c r="AK47" s="5">
        <v>15.655768613046938</v>
      </c>
      <c r="AL47" s="5">
        <v>8.483218117551377</v>
      </c>
      <c r="AM47" s="5">
        <v>11.825920452889878</v>
      </c>
      <c r="AN47" s="5">
        <v>8.5</v>
      </c>
      <c r="AO47" s="5">
        <v>9.932977739487388</v>
      </c>
      <c r="AP47" s="5">
        <v>24.159591357769035</v>
      </c>
      <c r="AQ47" s="5">
        <v>27.331219694143975</v>
      </c>
      <c r="AR47" s="5">
        <v>29.29513415188722</v>
      </c>
      <c r="AS47" s="5">
        <v>29.412919950771165</v>
      </c>
    </row>
    <row r="48" spans="1:45" ht="12.75">
      <c r="A48" s="240" t="s">
        <v>36</v>
      </c>
      <c r="B48" s="240"/>
      <c r="C48" s="240"/>
      <c r="E48" s="53" t="s">
        <v>427</v>
      </c>
      <c r="F48" s="2">
        <v>5958</v>
      </c>
      <c r="G48" s="2">
        <v>7755</v>
      </c>
      <c r="H48" s="2">
        <v>6520</v>
      </c>
      <c r="I48" s="2">
        <v>4703</v>
      </c>
      <c r="J48" s="2">
        <v>5192</v>
      </c>
      <c r="K48" s="2">
        <v>5217</v>
      </c>
      <c r="L48" s="2">
        <v>5714</v>
      </c>
      <c r="M48" s="2">
        <v>4556</v>
      </c>
      <c r="N48" s="2">
        <v>4927</v>
      </c>
      <c r="O48" s="2">
        <v>2197</v>
      </c>
      <c r="P48" s="2">
        <v>-688</v>
      </c>
      <c r="Q48" s="2">
        <v>665</v>
      </c>
      <c r="R48" s="2">
        <v>730</v>
      </c>
      <c r="S48" s="2">
        <v>-496</v>
      </c>
      <c r="T48" s="2">
        <v>-609</v>
      </c>
      <c r="U48" s="2">
        <v>-709</v>
      </c>
      <c r="V48" s="2">
        <v>390</v>
      </c>
      <c r="W48" s="2">
        <v>1315</v>
      </c>
      <c r="X48" s="2">
        <v>2932</v>
      </c>
      <c r="Y48" s="2">
        <v>6367</v>
      </c>
      <c r="Z48" s="2">
        <v>9778</v>
      </c>
      <c r="AA48" s="2">
        <v>9575</v>
      </c>
      <c r="AB48" s="2">
        <v>10470</v>
      </c>
      <c r="AC48" s="2">
        <v>10164</v>
      </c>
      <c r="AD48" s="2">
        <v>12756</v>
      </c>
      <c r="AE48" s="2">
        <v>11420</v>
      </c>
      <c r="AF48" s="2">
        <v>11521</v>
      </c>
      <c r="AG48" s="2">
        <v>10653</v>
      </c>
      <c r="AH48" s="2">
        <v>11598</v>
      </c>
      <c r="AI48" s="2">
        <v>10888</v>
      </c>
      <c r="AJ48" s="2">
        <v>9595</v>
      </c>
      <c r="AK48" s="2">
        <v>9631</v>
      </c>
      <c r="AL48" s="2">
        <v>11251</v>
      </c>
      <c r="AM48" s="2">
        <v>9208</v>
      </c>
      <c r="AN48" s="2">
        <v>6947</v>
      </c>
      <c r="AO48" s="2">
        <v>6407</v>
      </c>
      <c r="AP48" s="2">
        <v>9068</v>
      </c>
      <c r="AQ48" s="2">
        <v>7726</v>
      </c>
      <c r="AR48" s="2">
        <v>4846</v>
      </c>
      <c r="AS48" s="2">
        <v>360</v>
      </c>
    </row>
    <row r="49" spans="1:45" ht="12.75">
      <c r="A49" s="240" t="s">
        <v>36</v>
      </c>
      <c r="B49" s="240"/>
      <c r="C49" s="240" t="s">
        <v>587</v>
      </c>
      <c r="E49" s="53" t="s">
        <v>260</v>
      </c>
      <c r="F49" s="4">
        <v>0.41</v>
      </c>
      <c r="G49" s="4">
        <v>0.55</v>
      </c>
      <c r="H49" s="4">
        <v>0.45407061773103974</v>
      </c>
      <c r="I49" s="4">
        <v>0.2932044887780549</v>
      </c>
      <c r="J49" s="4">
        <v>0.3501956023202482</v>
      </c>
      <c r="K49" s="4">
        <v>0.3633767500174131</v>
      </c>
      <c r="L49" s="4">
        <v>0.3570803649543807</v>
      </c>
      <c r="M49" s="4">
        <v>0.27805920048825145</v>
      </c>
      <c r="N49" s="4">
        <v>0.302920381186597</v>
      </c>
      <c r="O49" s="4">
        <v>0.12745098039215685</v>
      </c>
      <c r="P49" s="4">
        <v>-0.039359267734553775</v>
      </c>
      <c r="Q49" s="4">
        <v>0.03529536648797835</v>
      </c>
      <c r="R49" s="4">
        <f>0.0399452804377565</f>
        <v>0.0399452804377565</v>
      </c>
      <c r="S49" s="4">
        <v>-0.025167444692510657</v>
      </c>
      <c r="T49" s="4">
        <v>-0.030866700456158136</v>
      </c>
      <c r="U49" s="4">
        <v>-0.03439576965992335</v>
      </c>
      <c r="V49" s="4">
        <v>0.02125919869174162</v>
      </c>
      <c r="W49" s="4">
        <v>0.06752939968161044</v>
      </c>
      <c r="X49" s="4">
        <v>0.1428432232290753</v>
      </c>
      <c r="Y49" s="4">
        <v>0.31005600194789384</v>
      </c>
      <c r="Z49" s="4">
        <v>0.5873025406931347</v>
      </c>
      <c r="AA49" s="4">
        <v>0.5614189387276458</v>
      </c>
      <c r="AB49" s="4">
        <v>0.6491010539367638</v>
      </c>
      <c r="AC49" s="4">
        <v>0.6463181991606257</v>
      </c>
      <c r="AD49" s="4">
        <v>0.8840529489223092</v>
      </c>
      <c r="AE49" s="4">
        <v>0.7181486605458433</v>
      </c>
      <c r="AF49" s="4">
        <v>0.7540414948622292</v>
      </c>
      <c r="AG49" s="4">
        <v>0.7445485043332402</v>
      </c>
      <c r="AH49" s="4">
        <v>0.9368336025848142</v>
      </c>
      <c r="AI49" s="4">
        <v>0.8284888144879013</v>
      </c>
      <c r="AJ49" s="4">
        <v>0.6269193074158772</v>
      </c>
      <c r="AK49" s="4">
        <v>0.5848311877580763</v>
      </c>
      <c r="AL49" s="4">
        <v>0.7258241403780401</v>
      </c>
      <c r="AM49" s="4">
        <v>0.5727080482647096</v>
      </c>
      <c r="AN49" s="4">
        <v>0.44</v>
      </c>
      <c r="AO49" s="4">
        <v>0.42699100299900034</v>
      </c>
      <c r="AP49" s="4">
        <v>0.6491516930345765</v>
      </c>
      <c r="AQ49" s="4">
        <v>0.5549490015802327</v>
      </c>
      <c r="AR49" s="4">
        <v>0.3077997967479675</v>
      </c>
      <c r="AS49" s="4">
        <v>0.02029541098207239</v>
      </c>
    </row>
    <row r="50" spans="1:45" ht="12.75">
      <c r="A50" s="240" t="s">
        <v>36</v>
      </c>
      <c r="B50" s="240"/>
      <c r="C50" s="240" t="s">
        <v>534</v>
      </c>
      <c r="E50" s="223" t="s">
        <v>549</v>
      </c>
      <c r="F50" s="4"/>
      <c r="G50" s="4"/>
      <c r="H50" s="4"/>
      <c r="I50" s="4"/>
      <c r="J50" s="4"/>
      <c r="K50" s="4"/>
      <c r="L50" s="4"/>
      <c r="M50" s="4"/>
      <c r="N50" s="4"/>
      <c r="O50" s="4"/>
      <c r="P50" s="4"/>
      <c r="Q50" s="4"/>
      <c r="R50" s="4"/>
      <c r="S50" s="4"/>
      <c r="T50" s="4"/>
      <c r="U50" s="4"/>
      <c r="V50" s="4"/>
      <c r="W50" s="4"/>
      <c r="X50" s="4"/>
      <c r="Y50" s="4"/>
      <c r="Z50" s="4"/>
      <c r="AA50" s="4"/>
      <c r="AB50" s="4"/>
      <c r="AC50" s="4"/>
      <c r="AD50" s="5">
        <v>286.17</v>
      </c>
      <c r="AE50" s="5">
        <v>286.17</v>
      </c>
      <c r="AF50" s="5">
        <v>286.17</v>
      </c>
      <c r="AG50" s="5">
        <v>286.2</v>
      </c>
      <c r="AH50" s="5">
        <v>286.21</v>
      </c>
      <c r="AI50" s="5">
        <v>286.274</v>
      </c>
      <c r="AJ50" s="5">
        <v>286.288</v>
      </c>
      <c r="AK50" s="5">
        <v>286.295</v>
      </c>
      <c r="AL50" s="5">
        <v>286.6</v>
      </c>
      <c r="AM50" s="5">
        <v>286.9</v>
      </c>
      <c r="AN50" s="5">
        <v>287.1</v>
      </c>
      <c r="AO50" s="5">
        <v>287.148</v>
      </c>
      <c r="AP50" s="5">
        <v>287.4</v>
      </c>
      <c r="AQ50" s="5">
        <v>287.4</v>
      </c>
      <c r="AR50" s="5">
        <v>287.4</v>
      </c>
      <c r="AS50" s="5">
        <v>287.4</v>
      </c>
    </row>
    <row r="51" spans="1:45" ht="12.75">
      <c r="A51" s="240" t="s">
        <v>36</v>
      </c>
      <c r="B51" s="240"/>
      <c r="C51" s="240" t="s">
        <v>596</v>
      </c>
      <c r="E51" s="29" t="s">
        <v>130</v>
      </c>
      <c r="F51" s="2">
        <v>56280</v>
      </c>
      <c r="G51" s="2">
        <v>56315</v>
      </c>
      <c r="H51" s="2">
        <v>56779</v>
      </c>
      <c r="I51" s="2">
        <v>56898</v>
      </c>
      <c r="J51" s="2">
        <v>55753</v>
      </c>
      <c r="K51" s="2">
        <v>55934</v>
      </c>
      <c r="L51" s="2">
        <v>55963</v>
      </c>
      <c r="M51" s="2">
        <v>55177</v>
      </c>
      <c r="N51" s="2">
        <v>53639</v>
      </c>
      <c r="O51" s="2">
        <v>50349</v>
      </c>
      <c r="P51" s="2">
        <v>50354</v>
      </c>
      <c r="Q51" s="2">
        <v>50633</v>
      </c>
      <c r="R51" s="2">
        <v>51058</v>
      </c>
      <c r="S51" s="2">
        <v>51371</v>
      </c>
      <c r="T51" s="2">
        <v>51704</v>
      </c>
      <c r="U51" s="2">
        <v>51544</v>
      </c>
      <c r="V51" s="2">
        <v>50665</v>
      </c>
      <c r="W51" s="2">
        <v>50251</v>
      </c>
      <c r="X51" s="2">
        <v>51679</v>
      </c>
      <c r="Y51" s="2">
        <v>52916</v>
      </c>
      <c r="Z51" s="2">
        <v>58166</v>
      </c>
      <c r="AA51" s="2">
        <v>58432</v>
      </c>
      <c r="AB51" s="2">
        <v>59200</v>
      </c>
      <c r="AC51" s="2">
        <v>59478</v>
      </c>
      <c r="AD51" s="2">
        <v>60660</v>
      </c>
      <c r="AE51" s="2">
        <v>60418</v>
      </c>
      <c r="AF51" s="2">
        <v>60747</v>
      </c>
      <c r="AG51" s="2">
        <v>60754</v>
      </c>
      <c r="AH51" s="2">
        <v>60632</v>
      </c>
      <c r="AI51" s="2">
        <v>60040</v>
      </c>
      <c r="AJ51" s="2">
        <v>59839</v>
      </c>
      <c r="AK51" s="2">
        <v>60038</v>
      </c>
      <c r="AL51" s="2">
        <v>59295</v>
      </c>
      <c r="AM51" s="2">
        <v>58529</v>
      </c>
      <c r="AN51" s="2">
        <v>58279</v>
      </c>
      <c r="AO51" s="2">
        <v>58265</v>
      </c>
      <c r="AP51" s="2">
        <v>55779</v>
      </c>
      <c r="AQ51" s="2">
        <v>55822</v>
      </c>
      <c r="AR51" s="2">
        <v>55605</v>
      </c>
      <c r="AS51" s="2">
        <v>55400</v>
      </c>
    </row>
    <row r="52" spans="1:43" ht="12.75">
      <c r="A52" s="240" t="s">
        <v>38</v>
      </c>
      <c r="B52" s="240"/>
      <c r="C52" s="240"/>
      <c r="E52" s="2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1:40" ht="105">
      <c r="A53" s="240" t="s">
        <v>76</v>
      </c>
      <c r="B53" s="240"/>
      <c r="C53" s="240"/>
      <c r="E53" s="217" t="s">
        <v>594</v>
      </c>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row>
  </sheetData>
  <sheetProtection/>
  <printOptions/>
  <pageMargins left="0.75" right="0.75" top="1" bottom="1" header="0.5" footer="0.5"/>
  <pageSetup fitToHeight="1" fitToWidth="1" horizontalDpi="600" verticalDpi="600" orientation="portrait" paperSize="8" scale="27" r:id="rId1"/>
</worksheet>
</file>

<file path=xl/worksheets/sheet12.xml><?xml version="1.0" encoding="utf-8"?>
<worksheet xmlns="http://schemas.openxmlformats.org/spreadsheetml/2006/main" xmlns:r="http://schemas.openxmlformats.org/officeDocument/2006/relationships">
  <sheetPr>
    <pageSetUpPr fitToPage="1"/>
  </sheetPr>
  <dimension ref="A1:AT23"/>
  <sheetViews>
    <sheetView zoomScaleSheetLayoutView="100" zoomScalePageLayoutView="0" workbookViewId="0" topLeftCell="A1">
      <selection activeCell="AQ29" sqref="AQ29"/>
    </sheetView>
  </sheetViews>
  <sheetFormatPr defaultColWidth="9.140625" defaultRowHeight="12.75"/>
  <cols>
    <col min="1" max="1" width="11.140625" style="240" bestFit="1" customWidth="1"/>
    <col min="2" max="2" width="8.28125" style="40" customWidth="1"/>
    <col min="3" max="3" width="9.140625" style="40" customWidth="1"/>
    <col min="4" max="4" width="23.421875" style="40" hidden="1" customWidth="1"/>
    <col min="5" max="5" width="53.421875" style="40" customWidth="1"/>
    <col min="6" max="15" width="11.00390625" style="40" hidden="1" customWidth="1"/>
    <col min="16" max="21" width="9.140625" style="40" hidden="1" customWidth="1"/>
    <col min="22" max="22" width="8.28125" style="40" hidden="1" customWidth="1"/>
    <col min="23" max="32" width="9.140625" style="40" hidden="1" customWidth="1"/>
    <col min="33" max="36" width="0" style="40" hidden="1" customWidth="1"/>
    <col min="37" max="16384" width="9.140625" style="40" customWidth="1"/>
  </cols>
  <sheetData>
    <row r="1" spans="1:5" ht="21">
      <c r="A1" s="249">
        <v>42735</v>
      </c>
      <c r="B1" s="97" t="s">
        <v>141</v>
      </c>
      <c r="C1" s="98"/>
      <c r="D1" s="99" t="str">
        <f>Company</f>
        <v>AB Electrolux</v>
      </c>
      <c r="E1" s="99" t="str">
        <f>Company</f>
        <v>AB Electrolux</v>
      </c>
    </row>
    <row r="2" spans="1:38" ht="12.75">
      <c r="A2" s="250"/>
      <c r="B2" s="97" t="s">
        <v>143</v>
      </c>
      <c r="C2" s="98"/>
      <c r="D2" s="100">
        <f>A1</f>
        <v>42735</v>
      </c>
      <c r="E2" s="101">
        <f>A1</f>
        <v>42735</v>
      </c>
      <c r="AL2" s="177"/>
    </row>
    <row r="3" spans="1:5" ht="21">
      <c r="A3" s="250"/>
      <c r="B3" s="97" t="s">
        <v>144</v>
      </c>
      <c r="C3" s="98" t="s">
        <v>145</v>
      </c>
      <c r="D3" s="102" t="s">
        <v>146</v>
      </c>
      <c r="E3" s="102" t="s">
        <v>147</v>
      </c>
    </row>
    <row r="4" spans="1:5" ht="12.75">
      <c r="A4" s="240" t="s">
        <v>34</v>
      </c>
      <c r="B4" s="97" t="s">
        <v>148</v>
      </c>
      <c r="D4" s="90" t="s">
        <v>427</v>
      </c>
      <c r="E4" s="90" t="s">
        <v>427</v>
      </c>
    </row>
    <row r="5" spans="2:30" ht="12.75">
      <c r="B5" s="97" t="s">
        <v>150</v>
      </c>
      <c r="C5" s="103" t="s">
        <v>284</v>
      </c>
      <c r="E5" s="34"/>
      <c r="Z5" s="168"/>
      <c r="AA5" s="168"/>
      <c r="AB5" s="168"/>
      <c r="AC5" s="168"/>
      <c r="AD5" s="168"/>
    </row>
    <row r="6" spans="1:46" s="41"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400</v>
      </c>
      <c r="AA6" s="87" t="s">
        <v>405</v>
      </c>
      <c r="AB6" s="87" t="s">
        <v>409</v>
      </c>
      <c r="AC6" s="87" t="s">
        <v>411</v>
      </c>
      <c r="AD6" s="87" t="s">
        <v>414</v>
      </c>
      <c r="AE6" s="87" t="s">
        <v>421</v>
      </c>
      <c r="AF6" s="87" t="s">
        <v>429</v>
      </c>
      <c r="AG6" s="87" t="s">
        <v>431</v>
      </c>
      <c r="AH6" s="87" t="s">
        <v>432</v>
      </c>
      <c r="AI6" s="87" t="s">
        <v>440</v>
      </c>
      <c r="AJ6" s="87" t="s">
        <v>441</v>
      </c>
      <c r="AK6" s="87" t="s">
        <v>442</v>
      </c>
      <c r="AL6" s="87" t="s">
        <v>443</v>
      </c>
      <c r="AM6" s="87" t="s">
        <v>445</v>
      </c>
      <c r="AN6" s="87" t="s">
        <v>447</v>
      </c>
      <c r="AO6" s="87" t="s">
        <v>448</v>
      </c>
      <c r="AP6" s="87" t="s">
        <v>467</v>
      </c>
      <c r="AQ6" s="87" t="s">
        <v>469</v>
      </c>
      <c r="AR6" s="87" t="s">
        <v>471</v>
      </c>
      <c r="AS6" s="87" t="s">
        <v>605</v>
      </c>
      <c r="AT6" s="87" t="s">
        <v>608</v>
      </c>
    </row>
    <row r="7" spans="1:5" s="33" customFormat="1" ht="12.75">
      <c r="A7" s="238" t="s">
        <v>571</v>
      </c>
      <c r="B7" s="238"/>
      <c r="C7" s="238"/>
      <c r="E7" s="33" t="s">
        <v>31</v>
      </c>
    </row>
    <row r="8" spans="1:46" ht="12.75">
      <c r="A8" s="240" t="s">
        <v>36</v>
      </c>
      <c r="B8" s="240"/>
      <c r="C8" s="240"/>
      <c r="E8" s="116" t="s">
        <v>333</v>
      </c>
      <c r="F8" s="13">
        <v>6405</v>
      </c>
      <c r="G8" s="13">
        <v>7162</v>
      </c>
      <c r="H8" s="13">
        <v>6213</v>
      </c>
      <c r="I8" s="13">
        <v>5701</v>
      </c>
      <c r="J8" s="13">
        <v>4670</v>
      </c>
      <c r="K8" s="13">
        <v>2539</v>
      </c>
      <c r="L8" s="13">
        <v>2359</v>
      </c>
      <c r="M8" s="13">
        <v>3168</v>
      </c>
      <c r="N8" s="13">
        <v>3098</v>
      </c>
      <c r="O8" s="13">
        <v>3499</v>
      </c>
      <c r="P8" s="13">
        <v>3278</v>
      </c>
      <c r="Q8" s="13">
        <v>3364</v>
      </c>
      <c r="R8" s="13">
        <v>2805</v>
      </c>
      <c r="S8" s="13">
        <v>2254</v>
      </c>
      <c r="T8" s="13">
        <v>2333</v>
      </c>
      <c r="U8" s="13">
        <v>3139</v>
      </c>
      <c r="V8" s="13">
        <v>1873</v>
      </c>
      <c r="W8" s="13">
        <v>1823</v>
      </c>
      <c r="X8" s="13">
        <v>2352</v>
      </c>
      <c r="Y8" s="13">
        <v>4170</v>
      </c>
      <c r="Z8" s="13">
        <v>4170</v>
      </c>
      <c r="AA8" s="13">
        <v>5603</v>
      </c>
      <c r="AB8" s="13">
        <v>4106</v>
      </c>
      <c r="AC8" s="13">
        <v>4715</v>
      </c>
      <c r="AD8" s="13">
        <v>2795</v>
      </c>
      <c r="AE8" s="13">
        <v>5432</v>
      </c>
      <c r="AF8" s="13">
        <v>3791</v>
      </c>
      <c r="AG8" s="13">
        <v>2036</v>
      </c>
      <c r="AH8" s="13">
        <v>2733</v>
      </c>
      <c r="AI8" s="13">
        <v>2676</v>
      </c>
      <c r="AJ8" s="13">
        <v>4058</v>
      </c>
      <c r="AK8" s="13">
        <v>4600</v>
      </c>
      <c r="AL8" s="13">
        <v>4960</v>
      </c>
      <c r="AM8" s="13">
        <v>4430</v>
      </c>
      <c r="AN8" s="13">
        <v>5434</v>
      </c>
      <c r="AO8" s="13">
        <v>4548</v>
      </c>
      <c r="AP8" s="13">
        <v>4504</v>
      </c>
      <c r="AQ8" s="13">
        <v>4373</v>
      </c>
      <c r="AR8" s="13">
        <v>1588</v>
      </c>
      <c r="AS8" s="13">
        <v>10139</v>
      </c>
      <c r="AT8" s="13">
        <v>1807</v>
      </c>
    </row>
    <row r="9" spans="1:46" ht="12.75">
      <c r="A9" s="240" t="s">
        <v>36</v>
      </c>
      <c r="B9" s="240"/>
      <c r="C9" s="240"/>
      <c r="E9" s="94" t="s">
        <v>478</v>
      </c>
      <c r="F9" s="13">
        <v>253</v>
      </c>
      <c r="G9" s="13">
        <v>412</v>
      </c>
      <c r="H9" s="13">
        <v>277</v>
      </c>
      <c r="I9" s="13">
        <v>280</v>
      </c>
      <c r="J9" s="13">
        <v>272</v>
      </c>
      <c r="K9" s="13">
        <v>397</v>
      </c>
      <c r="L9" s="13">
        <v>305</v>
      </c>
      <c r="M9" s="13">
        <v>699</v>
      </c>
      <c r="N9" s="13">
        <v>795</v>
      </c>
      <c r="O9" s="13">
        <v>755</v>
      </c>
      <c r="P9" s="13">
        <v>717</v>
      </c>
      <c r="Q9" s="13">
        <v>343</v>
      </c>
      <c r="R9" s="13">
        <v>450</v>
      </c>
      <c r="S9" s="13">
        <v>523</v>
      </c>
      <c r="T9" s="13">
        <v>851</v>
      </c>
      <c r="U9" s="13">
        <v>476</v>
      </c>
      <c r="V9" s="13">
        <v>331</v>
      </c>
      <c r="W9" s="13">
        <v>356</v>
      </c>
      <c r="X9" s="13">
        <v>270</v>
      </c>
      <c r="Y9" s="13">
        <v>314</v>
      </c>
      <c r="Z9" s="13">
        <v>314</v>
      </c>
      <c r="AA9" s="13">
        <v>268</v>
      </c>
      <c r="AB9" s="13">
        <v>212</v>
      </c>
      <c r="AC9" s="13">
        <v>344</v>
      </c>
      <c r="AD9" s="13">
        <v>220</v>
      </c>
      <c r="AE9" s="13">
        <v>211</v>
      </c>
      <c r="AF9" s="13">
        <v>137</v>
      </c>
      <c r="AG9" s="13">
        <v>225</v>
      </c>
      <c r="AH9" s="13">
        <v>165</v>
      </c>
      <c r="AI9" s="13">
        <v>178</v>
      </c>
      <c r="AJ9" s="13">
        <v>175</v>
      </c>
      <c r="AK9" s="13">
        <v>101</v>
      </c>
      <c r="AL9" s="13">
        <v>151</v>
      </c>
      <c r="AM9" s="13">
        <v>253</v>
      </c>
      <c r="AN9" s="13">
        <v>175</v>
      </c>
      <c r="AO9" s="13">
        <v>142</v>
      </c>
      <c r="AP9" s="13">
        <v>215</v>
      </c>
      <c r="AQ9" s="13">
        <v>296</v>
      </c>
      <c r="AR9" s="13">
        <v>241</v>
      </c>
      <c r="AS9" s="13">
        <v>-10</v>
      </c>
      <c r="AT9" s="13">
        <v>419</v>
      </c>
    </row>
    <row r="10" spans="1:46" ht="12.75">
      <c r="A10" s="240" t="s">
        <v>36</v>
      </c>
      <c r="B10" s="240"/>
      <c r="C10" s="240"/>
      <c r="E10" s="94" t="s">
        <v>262</v>
      </c>
      <c r="F10" s="13">
        <v>90</v>
      </c>
      <c r="G10" s="13">
        <v>154</v>
      </c>
      <c r="H10" s="13">
        <v>253</v>
      </c>
      <c r="I10" s="13">
        <v>295</v>
      </c>
      <c r="J10" s="13">
        <v>295</v>
      </c>
      <c r="K10" s="13">
        <v>162</v>
      </c>
      <c r="L10" s="13">
        <v>272</v>
      </c>
      <c r="M10" s="13">
        <v>116</v>
      </c>
      <c r="N10" s="13">
        <v>198</v>
      </c>
      <c r="O10" s="13">
        <v>127</v>
      </c>
      <c r="P10" s="13">
        <v>181</v>
      </c>
      <c r="Q10" s="13">
        <v>74</v>
      </c>
      <c r="R10" s="13">
        <v>117</v>
      </c>
      <c r="S10" s="13">
        <v>97</v>
      </c>
      <c r="T10" s="13">
        <v>135</v>
      </c>
      <c r="U10" s="13">
        <v>68</v>
      </c>
      <c r="V10" s="13">
        <v>100</v>
      </c>
      <c r="W10" s="13">
        <v>102</v>
      </c>
      <c r="X10" s="13">
        <v>147</v>
      </c>
      <c r="Y10" s="13">
        <v>83</v>
      </c>
      <c r="Z10" s="13">
        <v>83</v>
      </c>
      <c r="AA10" s="13">
        <v>136</v>
      </c>
      <c r="AB10" s="13">
        <v>106</v>
      </c>
      <c r="AC10" s="13">
        <v>132</v>
      </c>
      <c r="AD10" s="13">
        <v>68</v>
      </c>
      <c r="AE10" s="13">
        <v>96</v>
      </c>
      <c r="AF10" s="13">
        <v>46</v>
      </c>
      <c r="AG10" s="13">
        <v>62</v>
      </c>
      <c r="AH10" s="13">
        <v>72</v>
      </c>
      <c r="AI10" s="13">
        <v>90</v>
      </c>
      <c r="AJ10" s="13">
        <v>42</v>
      </c>
      <c r="AK10" s="13">
        <v>57</v>
      </c>
      <c r="AL10" s="13">
        <v>63</v>
      </c>
      <c r="AM10" s="13">
        <v>78</v>
      </c>
      <c r="AN10" s="13">
        <v>42</v>
      </c>
      <c r="AO10" s="13">
        <v>52</v>
      </c>
      <c r="AP10" s="13">
        <v>55</v>
      </c>
      <c r="AQ10" s="13">
        <v>64</v>
      </c>
      <c r="AR10" s="13">
        <v>23</v>
      </c>
      <c r="AS10" s="13">
        <v>34</v>
      </c>
      <c r="AT10" s="13">
        <v>24</v>
      </c>
    </row>
    <row r="11" spans="1:46" ht="12.75">
      <c r="A11" s="240" t="s">
        <v>36</v>
      </c>
      <c r="B11" s="240"/>
      <c r="C11" s="240"/>
      <c r="E11" s="94" t="s">
        <v>65</v>
      </c>
      <c r="F11" s="13">
        <v>3809</v>
      </c>
      <c r="G11" s="13">
        <v>3732</v>
      </c>
      <c r="H11" s="13">
        <v>3717</v>
      </c>
      <c r="I11" s="13">
        <v>4887</v>
      </c>
      <c r="J11" s="13">
        <v>5410</v>
      </c>
      <c r="K11" s="13">
        <v>8543</v>
      </c>
      <c r="L11" s="13">
        <v>9049</v>
      </c>
      <c r="M11" s="13">
        <v>9963</v>
      </c>
      <c r="N11" s="13">
        <v>11082</v>
      </c>
      <c r="O11" s="13">
        <v>10702</v>
      </c>
      <c r="P11" s="13">
        <v>10323</v>
      </c>
      <c r="Q11" s="13">
        <v>10241</v>
      </c>
      <c r="R11" s="13">
        <v>9530</v>
      </c>
      <c r="S11" s="13">
        <v>9304</v>
      </c>
      <c r="T11" s="13">
        <v>9119</v>
      </c>
      <c r="U11" s="13">
        <v>8413</v>
      </c>
      <c r="V11" s="13">
        <v>8246</v>
      </c>
      <c r="W11" s="13">
        <f>+'Consolidated_balance_sheet-Q'!W37</f>
        <v>10869</v>
      </c>
      <c r="X11" s="13">
        <v>11826</v>
      </c>
      <c r="Y11" s="13">
        <v>9639</v>
      </c>
      <c r="Z11" s="13">
        <v>9639</v>
      </c>
      <c r="AA11" s="13">
        <v>10604</v>
      </c>
      <c r="AB11" s="13">
        <v>10623</v>
      </c>
      <c r="AC11" s="13">
        <v>9158</v>
      </c>
      <c r="AD11" s="13">
        <v>10005</v>
      </c>
      <c r="AE11" s="13">
        <v>11059</v>
      </c>
      <c r="AF11" s="13">
        <v>11908</v>
      </c>
      <c r="AG11" s="13">
        <v>11859</v>
      </c>
      <c r="AH11" s="13">
        <v>11935</v>
      </c>
      <c r="AI11" s="13">
        <v>11946</v>
      </c>
      <c r="AJ11" s="13">
        <v>10180</v>
      </c>
      <c r="AK11" s="13">
        <v>9524</v>
      </c>
      <c r="AL11" s="13">
        <v>9529</v>
      </c>
      <c r="AM11" s="13">
        <v>9580</v>
      </c>
      <c r="AN11" s="13">
        <v>8256</v>
      </c>
      <c r="AO11" s="13">
        <v>8471</v>
      </c>
      <c r="AP11" s="13">
        <v>8323</v>
      </c>
      <c r="AQ11" s="13">
        <v>8261</v>
      </c>
      <c r="AR11" s="13">
        <v>8407</v>
      </c>
      <c r="AS11" s="13">
        <v>10163</v>
      </c>
      <c r="AT11" s="13">
        <v>7952</v>
      </c>
    </row>
    <row r="12" spans="1:46" ht="12.75">
      <c r="A12" s="240" t="s">
        <v>36</v>
      </c>
      <c r="B12" s="240" t="s">
        <v>39</v>
      </c>
      <c r="C12" s="240"/>
      <c r="E12" s="75" t="s">
        <v>259</v>
      </c>
      <c r="F12" s="14">
        <v>10557</v>
      </c>
      <c r="G12" s="14">
        <v>11460</v>
      </c>
      <c r="H12" s="14">
        <v>10460</v>
      </c>
      <c r="I12" s="14">
        <v>11163</v>
      </c>
      <c r="J12" s="14">
        <v>10647</v>
      </c>
      <c r="K12" s="14">
        <v>11641</v>
      </c>
      <c r="L12" s="14">
        <v>11985</v>
      </c>
      <c r="M12" s="14">
        <v>13946</v>
      </c>
      <c r="N12" s="14">
        <v>15173</v>
      </c>
      <c r="O12" s="14">
        <v>15083</v>
      </c>
      <c r="P12" s="14">
        <v>14499</v>
      </c>
      <c r="Q12" s="14">
        <v>14022</v>
      </c>
      <c r="R12" s="14">
        <v>12902</v>
      </c>
      <c r="S12" s="14">
        <v>12178</v>
      </c>
      <c r="T12" s="14">
        <v>12438</v>
      </c>
      <c r="U12" s="14">
        <v>12096</v>
      </c>
      <c r="V12" s="14">
        <v>10550</v>
      </c>
      <c r="W12" s="14">
        <f>SUM(W8:W11)</f>
        <v>13150</v>
      </c>
      <c r="X12" s="14">
        <f>SUM(X8:X11)</f>
        <v>14595</v>
      </c>
      <c r="Y12" s="14">
        <f>SUM(Y8:Y11)</f>
        <v>14206</v>
      </c>
      <c r="Z12" s="14">
        <v>14206</v>
      </c>
      <c r="AA12" s="14">
        <v>16611</v>
      </c>
      <c r="AB12" s="14">
        <v>15047</v>
      </c>
      <c r="AC12" s="14">
        <v>14349</v>
      </c>
      <c r="AD12" s="14">
        <v>13088</v>
      </c>
      <c r="AE12" s="14">
        <v>16798</v>
      </c>
      <c r="AF12" s="14">
        <v>15882</v>
      </c>
      <c r="AG12" s="14">
        <v>14182</v>
      </c>
      <c r="AH12" s="14">
        <v>14905</v>
      </c>
      <c r="AI12" s="14">
        <v>14890</v>
      </c>
      <c r="AJ12" s="14">
        <v>14455</v>
      </c>
      <c r="AK12" s="14">
        <v>14282</v>
      </c>
      <c r="AL12" s="14">
        <v>14703</v>
      </c>
      <c r="AM12" s="14">
        <v>14341</v>
      </c>
      <c r="AN12" s="14">
        <v>13907</v>
      </c>
      <c r="AO12" s="14">
        <v>13213</v>
      </c>
      <c r="AP12" s="14">
        <v>13097</v>
      </c>
      <c r="AQ12" s="14">
        <v>12994</v>
      </c>
      <c r="AR12" s="14">
        <v>10259</v>
      </c>
      <c r="AS12" s="14">
        <v>9740.0589</v>
      </c>
      <c r="AT12" s="14">
        <v>10202</v>
      </c>
    </row>
    <row r="13" spans="1:46" ht="12.75">
      <c r="A13" s="240" t="s">
        <v>36</v>
      </c>
      <c r="B13" s="240"/>
      <c r="C13" s="240"/>
      <c r="E13" s="94" t="s">
        <v>329</v>
      </c>
      <c r="F13" s="13">
        <v>3992</v>
      </c>
      <c r="G13" s="13">
        <v>3190</v>
      </c>
      <c r="H13" s="13">
        <v>3228</v>
      </c>
      <c r="I13" s="13">
        <v>5711</v>
      </c>
      <c r="J13" s="13">
        <v>4539</v>
      </c>
      <c r="K13" s="13">
        <v>5656</v>
      </c>
      <c r="L13" s="13">
        <v>5366</v>
      </c>
      <c r="M13" s="13">
        <v>7601</v>
      </c>
      <c r="N13" s="13">
        <v>8770</v>
      </c>
      <c r="O13" s="13">
        <v>11884</v>
      </c>
      <c r="P13" s="13">
        <v>14057</v>
      </c>
      <c r="Q13" s="13">
        <v>12567</v>
      </c>
      <c r="R13" s="13">
        <v>11378</v>
      </c>
      <c r="S13" s="13">
        <v>11860</v>
      </c>
      <c r="T13" s="13">
        <v>11828</v>
      </c>
      <c r="U13" s="13">
        <v>12111</v>
      </c>
      <c r="V13" s="13">
        <v>9582</v>
      </c>
      <c r="W13" s="13">
        <v>11306</v>
      </c>
      <c r="X13" s="13">
        <f>635+10226</f>
        <v>10861</v>
      </c>
      <c r="Y13" s="13">
        <f>6966+337</f>
        <v>7303</v>
      </c>
      <c r="Z13" s="13">
        <v>7303</v>
      </c>
      <c r="AA13" s="13">
        <v>8999</v>
      </c>
      <c r="AB13" s="13">
        <v>8603</v>
      </c>
      <c r="AC13" s="13">
        <v>7327</v>
      </c>
      <c r="AD13" s="13">
        <v>6958</v>
      </c>
      <c r="AE13" s="13">
        <v>7235</v>
      </c>
      <c r="AF13" s="13">
        <v>6551</v>
      </c>
      <c r="AG13" s="13">
        <v>5127</v>
      </c>
      <c r="AH13" s="13">
        <v>6755</v>
      </c>
      <c r="AI13" s="13">
        <v>6071</v>
      </c>
      <c r="AJ13" s="13">
        <v>6599</v>
      </c>
      <c r="AK13" s="13">
        <v>7715</v>
      </c>
      <c r="AL13" s="13">
        <v>9206</v>
      </c>
      <c r="AM13" s="13">
        <v>8187</v>
      </c>
      <c r="AN13" s="13">
        <v>8336</v>
      </c>
      <c r="AO13" s="13">
        <v>10522</v>
      </c>
      <c r="AP13" s="13">
        <v>10804</v>
      </c>
      <c r="AQ13" s="13">
        <v>9497</v>
      </c>
      <c r="AR13" s="13">
        <v>8541</v>
      </c>
      <c r="AS13" s="13">
        <v>11377</v>
      </c>
      <c r="AT13" s="13">
        <v>13661</v>
      </c>
    </row>
    <row r="14" spans="1:46" ht="12.75">
      <c r="A14" s="240" t="s">
        <v>36</v>
      </c>
      <c r="B14" s="240"/>
      <c r="C14" s="240"/>
      <c r="E14" s="94" t="s">
        <v>505</v>
      </c>
      <c r="F14" s="13">
        <v>267</v>
      </c>
      <c r="G14" s="13">
        <v>181</v>
      </c>
      <c r="H14" s="13">
        <v>382</v>
      </c>
      <c r="I14" s="13">
        <v>411</v>
      </c>
      <c r="J14" s="13">
        <v>413</v>
      </c>
      <c r="K14" s="13">
        <v>439</v>
      </c>
      <c r="L14" s="13">
        <v>566</v>
      </c>
      <c r="M14" s="13">
        <v>1390</v>
      </c>
      <c r="N14" s="13">
        <v>1057</v>
      </c>
      <c r="O14" s="13">
        <v>600</v>
      </c>
      <c r="P14" s="13">
        <v>741</v>
      </c>
      <c r="Q14" s="13">
        <v>377</v>
      </c>
      <c r="R14" s="13">
        <v>383</v>
      </c>
      <c r="S14" s="13">
        <v>453</v>
      </c>
      <c r="T14" s="13">
        <v>893</v>
      </c>
      <c r="U14" s="13">
        <v>386</v>
      </c>
      <c r="V14" s="13">
        <v>278</v>
      </c>
      <c r="W14" s="13">
        <v>224</v>
      </c>
      <c r="X14" s="13">
        <v>502</v>
      </c>
      <c r="Y14" s="13">
        <v>249</v>
      </c>
      <c r="Z14" s="13">
        <v>249</v>
      </c>
      <c r="AA14" s="13">
        <v>219</v>
      </c>
      <c r="AB14" s="13">
        <v>302</v>
      </c>
      <c r="AC14" s="13">
        <v>236</v>
      </c>
      <c r="AD14" s="13">
        <v>183</v>
      </c>
      <c r="AE14" s="13">
        <v>253</v>
      </c>
      <c r="AF14" s="13">
        <v>500</v>
      </c>
      <c r="AG14" s="13">
        <v>141</v>
      </c>
      <c r="AH14" s="13">
        <v>212</v>
      </c>
      <c r="AI14" s="13">
        <v>164</v>
      </c>
      <c r="AJ14" s="13">
        <v>125</v>
      </c>
      <c r="AK14" s="13">
        <v>275</v>
      </c>
      <c r="AL14" s="13">
        <v>356</v>
      </c>
      <c r="AM14" s="13">
        <v>313</v>
      </c>
      <c r="AN14" s="13">
        <v>164</v>
      </c>
      <c r="AO14" s="13">
        <v>304</v>
      </c>
      <c r="AP14" s="13">
        <v>141</v>
      </c>
      <c r="AQ14" s="13">
        <v>145</v>
      </c>
      <c r="AR14" s="13">
        <v>191</v>
      </c>
      <c r="AS14" s="13">
        <v>0</v>
      </c>
      <c r="AT14" s="13">
        <v>100</v>
      </c>
    </row>
    <row r="15" spans="1:46" ht="12.75">
      <c r="A15" s="240" t="s">
        <v>36</v>
      </c>
      <c r="B15" s="240"/>
      <c r="C15" s="240"/>
      <c r="E15" s="94" t="s">
        <v>261</v>
      </c>
      <c r="F15" s="13">
        <v>340</v>
      </c>
      <c r="G15" s="13">
        <v>334</v>
      </c>
      <c r="H15" s="13">
        <v>330</v>
      </c>
      <c r="I15" s="13">
        <v>338</v>
      </c>
      <c r="J15" s="13">
        <v>329</v>
      </c>
      <c r="K15" s="13">
        <v>329</v>
      </c>
      <c r="L15" s="13">
        <v>338</v>
      </c>
      <c r="M15" s="13">
        <v>399</v>
      </c>
      <c r="N15" s="13">
        <v>419</v>
      </c>
      <c r="O15" s="13">
        <v>402</v>
      </c>
      <c r="P15" s="13">
        <v>389</v>
      </c>
      <c r="Q15" s="13">
        <v>413</v>
      </c>
      <c r="R15" s="13">
        <v>411</v>
      </c>
      <c r="S15" s="13">
        <v>361</v>
      </c>
      <c r="T15" s="13">
        <v>326</v>
      </c>
      <c r="U15" s="13">
        <v>308</v>
      </c>
      <c r="V15" s="13">
        <v>300</v>
      </c>
      <c r="W15" s="13">
        <v>305</v>
      </c>
      <c r="X15" s="13">
        <v>300</v>
      </c>
      <c r="Y15" s="13">
        <v>287</v>
      </c>
      <c r="Z15" s="13">
        <v>287</v>
      </c>
      <c r="AA15" s="13">
        <v>288</v>
      </c>
      <c r="AB15" s="13">
        <v>284</v>
      </c>
      <c r="AC15" s="13">
        <v>253</v>
      </c>
      <c r="AD15" s="13">
        <v>262</v>
      </c>
      <c r="AE15" s="13">
        <v>252</v>
      </c>
      <c r="AF15" s="13">
        <v>262</v>
      </c>
      <c r="AG15" s="13">
        <v>255</v>
      </c>
      <c r="AH15" s="13">
        <v>265</v>
      </c>
      <c r="AI15" s="13">
        <v>257</v>
      </c>
      <c r="AJ15" s="13">
        <v>267</v>
      </c>
      <c r="AK15" s="13">
        <v>267</v>
      </c>
      <c r="AL15" s="13">
        <v>273</v>
      </c>
      <c r="AM15" s="13">
        <v>264</v>
      </c>
      <c r="AN15" s="13">
        <v>259</v>
      </c>
      <c r="AO15" s="13">
        <v>261</v>
      </c>
      <c r="AP15" s="13">
        <v>254</v>
      </c>
      <c r="AQ15" s="13">
        <v>252</v>
      </c>
      <c r="AR15" s="13">
        <v>256</v>
      </c>
      <c r="AS15" s="13">
        <v>257</v>
      </c>
      <c r="AT15" s="13">
        <v>250</v>
      </c>
    </row>
    <row r="16" spans="1:46" ht="12.75">
      <c r="A16" s="240" t="s">
        <v>37</v>
      </c>
      <c r="B16" s="240" t="s">
        <v>39</v>
      </c>
      <c r="C16" s="240"/>
      <c r="E16" s="112" t="s">
        <v>135</v>
      </c>
      <c r="F16" s="14">
        <v>4599</v>
      </c>
      <c r="G16" s="14">
        <v>3705</v>
      </c>
      <c r="H16" s="14">
        <v>3940</v>
      </c>
      <c r="I16" s="14">
        <v>6460</v>
      </c>
      <c r="J16" s="14">
        <v>5281</v>
      </c>
      <c r="K16" s="14">
        <v>6424</v>
      </c>
      <c r="L16" s="14">
        <v>6270</v>
      </c>
      <c r="M16" s="14">
        <v>9390</v>
      </c>
      <c r="N16" s="14">
        <v>10246</v>
      </c>
      <c r="O16" s="14">
        <v>12886</v>
      </c>
      <c r="P16" s="14">
        <v>15187</v>
      </c>
      <c r="Q16" s="14">
        <v>13357</v>
      </c>
      <c r="R16" s="14">
        <v>12172</v>
      </c>
      <c r="S16" s="14">
        <v>12674</v>
      </c>
      <c r="T16" s="14">
        <v>13047</v>
      </c>
      <c r="U16" s="14">
        <v>12805</v>
      </c>
      <c r="V16" s="14">
        <v>10160</v>
      </c>
      <c r="W16" s="14">
        <f>SUM(W13:W15)</f>
        <v>11835</v>
      </c>
      <c r="X16" s="14">
        <f>SUM(X13:X15)</f>
        <v>11663</v>
      </c>
      <c r="Y16" s="14">
        <f>SUM(Y13:Y15)</f>
        <v>7839</v>
      </c>
      <c r="Z16" s="14">
        <v>7839</v>
      </c>
      <c r="AA16" s="14">
        <v>9506</v>
      </c>
      <c r="AB16" s="14">
        <v>9189</v>
      </c>
      <c r="AC16" s="14">
        <v>7816</v>
      </c>
      <c r="AD16" s="14">
        <v>7403</v>
      </c>
      <c r="AE16" s="14">
        <v>7740</v>
      </c>
      <c r="AF16" s="14">
        <v>7313</v>
      </c>
      <c r="AG16" s="14">
        <v>5523</v>
      </c>
      <c r="AH16" s="14">
        <v>7232</v>
      </c>
      <c r="AI16" s="14">
        <v>6492</v>
      </c>
      <c r="AJ16" s="14">
        <v>6991</v>
      </c>
      <c r="AK16" s="14">
        <v>8257</v>
      </c>
      <c r="AL16" s="14">
        <v>9835</v>
      </c>
      <c r="AM16" s="14">
        <v>8764</v>
      </c>
      <c r="AN16" s="14">
        <v>8759</v>
      </c>
      <c r="AO16" s="14">
        <v>11087</v>
      </c>
      <c r="AP16" s="14">
        <v>11199</v>
      </c>
      <c r="AQ16" s="14">
        <v>9894</v>
      </c>
      <c r="AR16" s="14">
        <v>8988</v>
      </c>
      <c r="AS16" s="14">
        <v>11634</v>
      </c>
      <c r="AT16" s="14">
        <v>14011</v>
      </c>
    </row>
    <row r="17" spans="1:46" ht="12.75">
      <c r="A17" s="240" t="s">
        <v>37</v>
      </c>
      <c r="B17" s="255" t="s">
        <v>285</v>
      </c>
      <c r="C17" s="240"/>
      <c r="E17" s="112" t="s">
        <v>425</v>
      </c>
      <c r="F17" s="14"/>
      <c r="G17" s="14"/>
      <c r="H17" s="14"/>
      <c r="I17" s="14"/>
      <c r="J17" s="14"/>
      <c r="K17" s="14"/>
      <c r="L17" s="14"/>
      <c r="M17" s="14"/>
      <c r="N17" s="14"/>
      <c r="O17" s="14"/>
      <c r="P17" s="14"/>
      <c r="Q17" s="14"/>
      <c r="R17" s="14"/>
      <c r="S17" s="14"/>
      <c r="T17" s="14"/>
      <c r="U17" s="14"/>
      <c r="V17" s="14"/>
      <c r="W17" s="14"/>
      <c r="X17" s="14"/>
      <c r="Y17" s="14"/>
      <c r="Z17" s="14">
        <f>+Z12-Z16</f>
        <v>6367</v>
      </c>
      <c r="AA17" s="14">
        <f>+AA12-AA16</f>
        <v>7105</v>
      </c>
      <c r="AB17" s="14">
        <f>+AB12-AB16</f>
        <v>5858</v>
      </c>
      <c r="AC17" s="14">
        <f>+AC12-AC16</f>
        <v>6533</v>
      </c>
      <c r="AD17" s="14">
        <f>+AD12-AD16</f>
        <v>5685</v>
      </c>
      <c r="AE17" s="14">
        <v>9058</v>
      </c>
      <c r="AF17" s="14">
        <v>8569</v>
      </c>
      <c r="AG17" s="14">
        <v>8659</v>
      </c>
      <c r="AH17" s="14">
        <v>7673</v>
      </c>
      <c r="AI17" s="14">
        <v>8398</v>
      </c>
      <c r="AJ17" s="14">
        <v>7464</v>
      </c>
      <c r="AK17" s="14">
        <v>6025</v>
      </c>
      <c r="AL17" s="14">
        <v>4868</v>
      </c>
      <c r="AM17" s="14">
        <v>5577</v>
      </c>
      <c r="AN17" s="14">
        <v>5148</v>
      </c>
      <c r="AO17" s="14">
        <v>2126</v>
      </c>
      <c r="AP17" s="14">
        <v>1898</v>
      </c>
      <c r="AQ17" s="14">
        <v>3100</v>
      </c>
      <c r="AR17" s="14">
        <v>1271</v>
      </c>
      <c r="AS17" s="14">
        <v>-1471</v>
      </c>
      <c r="AT17" s="14">
        <v>-3809</v>
      </c>
    </row>
    <row r="18" spans="1:46" ht="12.75">
      <c r="A18" s="240" t="s">
        <v>37</v>
      </c>
      <c r="B18" s="240" t="s">
        <v>39</v>
      </c>
      <c r="C18" s="240"/>
      <c r="E18" s="112" t="s">
        <v>479</v>
      </c>
      <c r="F18" s="14"/>
      <c r="G18" s="14"/>
      <c r="H18" s="14"/>
      <c r="I18" s="14"/>
      <c r="J18" s="14"/>
      <c r="K18" s="14"/>
      <c r="L18" s="14"/>
      <c r="M18" s="14"/>
      <c r="N18" s="14"/>
      <c r="O18" s="14"/>
      <c r="P18" s="14"/>
      <c r="Q18" s="14"/>
      <c r="R18" s="14"/>
      <c r="S18" s="14"/>
      <c r="T18" s="14"/>
      <c r="U18" s="14"/>
      <c r="V18" s="14"/>
      <c r="W18" s="14"/>
      <c r="X18" s="14"/>
      <c r="Y18" s="14"/>
      <c r="Z18" s="14">
        <v>3621</v>
      </c>
      <c r="AA18" s="14">
        <v>2673</v>
      </c>
      <c r="AB18" s="14">
        <v>3717</v>
      </c>
      <c r="AC18" s="14">
        <v>3937</v>
      </c>
      <c r="AD18" s="14">
        <v>4479</v>
      </c>
      <c r="AE18" s="14">
        <v>3698</v>
      </c>
      <c r="AF18" s="14">
        <v>2851</v>
      </c>
      <c r="AG18" s="14">
        <v>2862</v>
      </c>
      <c r="AH18" s="14">
        <v>2980</v>
      </c>
      <c r="AI18" s="14">
        <v>3200</v>
      </c>
      <c r="AJ18" s="14">
        <v>3424</v>
      </c>
      <c r="AK18" s="14">
        <v>3570</v>
      </c>
      <c r="AL18" s="14">
        <v>4763</v>
      </c>
      <c r="AM18" s="14">
        <v>5674</v>
      </c>
      <c r="AN18" s="14">
        <v>4060</v>
      </c>
      <c r="AO18" s="14">
        <v>4821</v>
      </c>
      <c r="AP18" s="14">
        <v>4509</v>
      </c>
      <c r="AQ18" s="14">
        <v>5968</v>
      </c>
      <c r="AR18" s="14">
        <v>6455</v>
      </c>
      <c r="AS18" s="14">
        <v>6317</v>
      </c>
      <c r="AT18" s="14">
        <v>4169</v>
      </c>
    </row>
    <row r="19" spans="1:46" ht="12.75">
      <c r="A19" s="240" t="s">
        <v>37</v>
      </c>
      <c r="B19" s="240" t="s">
        <v>39</v>
      </c>
      <c r="C19" s="240"/>
      <c r="E19" s="62" t="s">
        <v>426</v>
      </c>
      <c r="F19" s="14">
        <v>5958</v>
      </c>
      <c r="G19" s="14">
        <v>7755</v>
      </c>
      <c r="H19" s="14">
        <v>6520</v>
      </c>
      <c r="I19" s="14">
        <v>4703</v>
      </c>
      <c r="J19" s="14">
        <v>5366</v>
      </c>
      <c r="K19" s="14">
        <v>5217</v>
      </c>
      <c r="L19" s="14">
        <v>5715</v>
      </c>
      <c r="M19" s="14">
        <v>4556</v>
      </c>
      <c r="N19" s="14">
        <v>4927</v>
      </c>
      <c r="O19" s="14">
        <v>2197</v>
      </c>
      <c r="P19" s="14">
        <v>-688</v>
      </c>
      <c r="Q19" s="14">
        <v>665</v>
      </c>
      <c r="R19" s="14">
        <v>730</v>
      </c>
      <c r="S19" s="14">
        <v>-496</v>
      </c>
      <c r="T19" s="14">
        <v>-609</v>
      </c>
      <c r="U19" s="14">
        <v>-709</v>
      </c>
      <c r="V19" s="14">
        <v>390</v>
      </c>
      <c r="W19" s="14">
        <f>+W12-W16</f>
        <v>1315</v>
      </c>
      <c r="X19" s="14">
        <f>+X12-X16</f>
        <v>2932</v>
      </c>
      <c r="Y19" s="14">
        <f>+Y12-Y16</f>
        <v>6367</v>
      </c>
      <c r="Z19" s="14">
        <v>9988</v>
      </c>
      <c r="AA19" s="14">
        <v>9778</v>
      </c>
      <c r="AB19" s="14">
        <v>9575</v>
      </c>
      <c r="AC19" s="14">
        <v>10470</v>
      </c>
      <c r="AD19" s="14">
        <v>10164</v>
      </c>
      <c r="AE19" s="14">
        <v>12756</v>
      </c>
      <c r="AF19" s="14">
        <v>11420</v>
      </c>
      <c r="AG19" s="14">
        <v>11521</v>
      </c>
      <c r="AH19" s="14">
        <v>10653</v>
      </c>
      <c r="AI19" s="14">
        <v>11598</v>
      </c>
      <c r="AJ19" s="14">
        <v>10888</v>
      </c>
      <c r="AK19" s="14">
        <v>9595</v>
      </c>
      <c r="AL19" s="14">
        <v>9631</v>
      </c>
      <c r="AM19" s="14">
        <v>11251</v>
      </c>
      <c r="AN19" s="14">
        <v>9208</v>
      </c>
      <c r="AO19" s="14">
        <v>6947</v>
      </c>
      <c r="AP19" s="14">
        <v>6407</v>
      </c>
      <c r="AQ19" s="14">
        <v>9068</v>
      </c>
      <c r="AR19" s="14">
        <v>7726</v>
      </c>
      <c r="AS19" s="14">
        <v>4846</v>
      </c>
      <c r="AT19" s="14">
        <v>360</v>
      </c>
    </row>
    <row r="20" spans="1:46" ht="12.75">
      <c r="A20" s="240" t="s">
        <v>36</v>
      </c>
      <c r="B20" s="240" t="s">
        <v>39</v>
      </c>
      <c r="C20" s="240" t="s">
        <v>582</v>
      </c>
      <c r="E20" s="53" t="s">
        <v>583</v>
      </c>
      <c r="F20" s="10" t="s">
        <v>30</v>
      </c>
      <c r="G20" s="10" t="s">
        <v>30</v>
      </c>
      <c r="H20" s="10" t="s">
        <v>30</v>
      </c>
      <c r="I20" s="15">
        <v>2.3</v>
      </c>
      <c r="J20" s="10" t="s">
        <v>30</v>
      </c>
      <c r="K20" s="15">
        <v>4.6</v>
      </c>
      <c r="L20" s="15">
        <v>4.7</v>
      </c>
      <c r="M20" s="15">
        <v>4.7</v>
      </c>
      <c r="N20" s="15">
        <v>4.5</v>
      </c>
      <c r="O20" s="15">
        <v>4.3</v>
      </c>
      <c r="P20" s="15">
        <v>4</v>
      </c>
      <c r="Q20" s="15">
        <v>3.9</v>
      </c>
      <c r="R20" s="15">
        <v>3.7</v>
      </c>
      <c r="S20" s="15">
        <v>3.7</v>
      </c>
      <c r="T20" s="15">
        <v>3.3</v>
      </c>
      <c r="U20" s="15">
        <v>3.3</v>
      </c>
      <c r="V20" s="15">
        <v>2.8</v>
      </c>
      <c r="W20" s="15">
        <v>2.8</v>
      </c>
      <c r="X20" s="15">
        <v>2.7</v>
      </c>
      <c r="Y20" s="15">
        <v>3.1</v>
      </c>
      <c r="Z20" s="15">
        <v>3.1</v>
      </c>
      <c r="AA20" s="15">
        <v>2.8</v>
      </c>
      <c r="AB20" s="15">
        <v>2.5</v>
      </c>
      <c r="AC20" s="15">
        <v>2.3</v>
      </c>
      <c r="AD20" s="15">
        <v>3.1</v>
      </c>
      <c r="AE20" s="15">
        <v>3.5</v>
      </c>
      <c r="AF20" s="15">
        <v>3.5</v>
      </c>
      <c r="AG20" s="15">
        <v>3.5</v>
      </c>
      <c r="AH20" s="15">
        <v>3.3</v>
      </c>
      <c r="AI20" s="15">
        <v>3</v>
      </c>
      <c r="AJ20" s="15">
        <v>3.1</v>
      </c>
      <c r="AK20" s="15">
        <v>2.8</v>
      </c>
      <c r="AL20" s="15">
        <v>2.8</v>
      </c>
      <c r="AM20" s="15">
        <v>2.5</v>
      </c>
      <c r="AN20" s="15">
        <v>3.1</v>
      </c>
      <c r="AO20" s="15">
        <v>3.1</v>
      </c>
      <c r="AP20" s="15">
        <v>2.8</v>
      </c>
      <c r="AQ20" s="15">
        <v>2.6</v>
      </c>
      <c r="AR20" s="10">
        <v>3.2</v>
      </c>
      <c r="AS20" s="10">
        <v>2.9</v>
      </c>
      <c r="AT20" s="10">
        <v>2.7</v>
      </c>
    </row>
    <row r="21" spans="1:46" s="90" customFormat="1" ht="12.75">
      <c r="A21" s="240" t="s">
        <v>37</v>
      </c>
      <c r="B21" s="240"/>
      <c r="C21" s="243"/>
      <c r="E21" s="86" t="s">
        <v>584</v>
      </c>
      <c r="F21" s="14">
        <v>4580.8142</v>
      </c>
      <c r="G21" s="14">
        <v>4624.1528</v>
      </c>
      <c r="H21" s="14">
        <v>4603.7589499999995</v>
      </c>
      <c r="I21" s="14">
        <v>4725</v>
      </c>
      <c r="J21" s="14">
        <v>4683.3144</v>
      </c>
      <c r="K21" s="14">
        <v>4724.409750000001</v>
      </c>
      <c r="L21" s="14">
        <v>4891.548000000001</v>
      </c>
      <c r="M21" s="14">
        <v>5466</v>
      </c>
      <c r="N21" s="14">
        <v>5365.64325</v>
      </c>
      <c r="O21" s="14">
        <v>5418.80905</v>
      </c>
      <c r="P21" s="14">
        <v>5110</v>
      </c>
      <c r="Q21" s="14">
        <v>5163</v>
      </c>
      <c r="R21" s="14">
        <v>4855</v>
      </c>
      <c r="S21" s="14">
        <v>4755</v>
      </c>
      <c r="T21" s="14">
        <v>7982</v>
      </c>
      <c r="U21" s="14">
        <v>7905</v>
      </c>
      <c r="V21" s="14">
        <v>7861</v>
      </c>
      <c r="W21" s="14">
        <v>7985</v>
      </c>
      <c r="X21" s="14">
        <v>8026</v>
      </c>
      <c r="Y21" s="14">
        <v>7865</v>
      </c>
      <c r="Z21" s="14">
        <v>7865</v>
      </c>
      <c r="AA21" s="14">
        <v>7817</v>
      </c>
      <c r="AB21" s="14">
        <v>7790</v>
      </c>
      <c r="AC21" s="14">
        <v>7617.182</v>
      </c>
      <c r="AD21" s="14">
        <v>7692.0215</v>
      </c>
      <c r="AE21" s="14">
        <v>7574.925499999999</v>
      </c>
      <c r="AF21" s="14">
        <v>7796.3</v>
      </c>
      <c r="AG21" s="14">
        <v>7730</v>
      </c>
      <c r="AH21" s="14">
        <v>7855.35</v>
      </c>
      <c r="AI21" s="14">
        <v>7875</v>
      </c>
      <c r="AJ21" s="14">
        <v>7990</v>
      </c>
      <c r="AK21" s="14">
        <v>7969.15</v>
      </c>
      <c r="AL21" s="14">
        <v>8137.3</v>
      </c>
      <c r="AM21" s="14">
        <v>8045</v>
      </c>
      <c r="AN21" s="14">
        <v>8010</v>
      </c>
      <c r="AO21" s="14">
        <v>8105</v>
      </c>
      <c r="AP21" s="14">
        <v>10516.63</v>
      </c>
      <c r="AQ21" s="14">
        <v>8259</v>
      </c>
      <c r="AR21" s="14">
        <v>13041</v>
      </c>
      <c r="AS21" s="14">
        <v>13500</v>
      </c>
      <c r="AT21" s="14">
        <v>10911.83</v>
      </c>
    </row>
    <row r="22" spans="1:46" ht="12.75">
      <c r="A22" s="240" t="s">
        <v>37</v>
      </c>
      <c r="B22" s="240"/>
      <c r="C22" s="240"/>
      <c r="E22" s="62" t="s">
        <v>137</v>
      </c>
      <c r="F22" s="14">
        <v>14570</v>
      </c>
      <c r="G22" s="14">
        <v>13973</v>
      </c>
      <c r="H22" s="14">
        <v>14359</v>
      </c>
      <c r="I22" s="14">
        <v>16040</v>
      </c>
      <c r="J22" s="14">
        <v>14826</v>
      </c>
      <c r="K22" s="14">
        <v>14357</v>
      </c>
      <c r="L22" s="14">
        <v>16002</v>
      </c>
      <c r="M22" s="14">
        <v>16385</v>
      </c>
      <c r="N22" s="14">
        <v>16265</v>
      </c>
      <c r="O22" s="14">
        <v>17238</v>
      </c>
      <c r="P22" s="14">
        <v>17480</v>
      </c>
      <c r="Q22" s="14">
        <v>18841</v>
      </c>
      <c r="R22" s="14">
        <v>18275</v>
      </c>
      <c r="S22" s="14">
        <v>19708</v>
      </c>
      <c r="T22" s="14">
        <v>19730</v>
      </c>
      <c r="U22" s="14">
        <v>20613</v>
      </c>
      <c r="V22" s="14">
        <v>18345</v>
      </c>
      <c r="W22" s="14">
        <f>+'Consolidated_balance_sheet-Q'!W36</f>
        <v>19473</v>
      </c>
      <c r="X22" s="14">
        <f>+'Consolidated_balance_sheet-Q'!X36</f>
        <v>20602</v>
      </c>
      <c r="Y22" s="14" t="e">
        <f>+'Consolidated_balance_sheet-Q'!#REF!</f>
        <v>#REF!</v>
      </c>
      <c r="Z22" s="14">
        <v>17646</v>
      </c>
      <c r="AA22" s="14">
        <v>16649</v>
      </c>
      <c r="AB22" s="14">
        <v>17055</v>
      </c>
      <c r="AC22" s="14">
        <v>16130</v>
      </c>
      <c r="AD22" s="14">
        <v>15726</v>
      </c>
      <c r="AE22" s="14">
        <v>14429</v>
      </c>
      <c r="AF22" s="14">
        <v>15902</v>
      </c>
      <c r="AG22" s="14">
        <v>15279</v>
      </c>
      <c r="AH22" s="14">
        <v>14308</v>
      </c>
      <c r="AI22" s="14">
        <v>12380</v>
      </c>
      <c r="AJ22" s="14">
        <v>13142</v>
      </c>
      <c r="AK22" s="14">
        <v>15305</v>
      </c>
      <c r="AL22" s="14">
        <v>16468</v>
      </c>
      <c r="AM22" s="14">
        <v>15501</v>
      </c>
      <c r="AN22" s="14">
        <v>16078</v>
      </c>
      <c r="AO22" s="14">
        <v>15877</v>
      </c>
      <c r="AP22" s="14">
        <v>15005</v>
      </c>
      <c r="AQ22" s="14">
        <v>13969</v>
      </c>
      <c r="AR22" s="14">
        <v>13922</v>
      </c>
      <c r="AS22" s="14">
        <v>15744</v>
      </c>
      <c r="AT22" s="14">
        <v>17738</v>
      </c>
    </row>
    <row r="23" spans="1:46" ht="12.75">
      <c r="A23" s="240" t="s">
        <v>36</v>
      </c>
      <c r="B23" s="240" t="s">
        <v>39</v>
      </c>
      <c r="C23" s="240" t="s">
        <v>587</v>
      </c>
      <c r="E23" s="116" t="s">
        <v>260</v>
      </c>
      <c r="F23" s="57">
        <v>0.40892244337680167</v>
      </c>
      <c r="G23" s="57">
        <v>0.5549989265011093</v>
      </c>
      <c r="H23" s="57">
        <v>0.45407061773103974</v>
      </c>
      <c r="I23" s="57">
        <v>0.2932044887780549</v>
      </c>
      <c r="J23" s="57">
        <v>0.36193174153514096</v>
      </c>
      <c r="K23" s="57">
        <v>0.3633767500174131</v>
      </c>
      <c r="L23" s="57">
        <v>0.35714285714285715</v>
      </c>
      <c r="M23" s="57">
        <v>0.27805920048825145</v>
      </c>
      <c r="N23" s="57">
        <v>0.302920381186597</v>
      </c>
      <c r="O23" s="57">
        <v>0.12745098039215685</v>
      </c>
      <c r="P23" s="57">
        <v>-0.039359267734553775</v>
      </c>
      <c r="Q23" s="57">
        <v>0.03529536648797835</v>
      </c>
      <c r="R23" s="57">
        <v>0.0399452804377565</v>
      </c>
      <c r="S23" s="57">
        <v>-0.03</v>
      </c>
      <c r="T23" s="57">
        <v>-0.03</v>
      </c>
      <c r="U23" s="57">
        <v>-0.03</v>
      </c>
      <c r="V23" s="57">
        <v>0.02</v>
      </c>
      <c r="W23" s="57">
        <v>0.07</v>
      </c>
      <c r="X23" s="57">
        <v>0.14</v>
      </c>
      <c r="Y23" s="57">
        <v>0.31</v>
      </c>
      <c r="Z23" s="57">
        <v>0.5660206279043409</v>
      </c>
      <c r="AA23" s="57">
        <v>0.5873025406931347</v>
      </c>
      <c r="AB23" s="57">
        <v>0.5614189387276458</v>
      </c>
      <c r="AC23" s="57">
        <v>0.6491010539367638</v>
      </c>
      <c r="AD23" s="57">
        <v>0.6463181991606257</v>
      </c>
      <c r="AE23" s="57">
        <v>0.88</v>
      </c>
      <c r="AF23" s="57">
        <v>0.72</v>
      </c>
      <c r="AG23" s="57">
        <v>0.7540414948622292</v>
      </c>
      <c r="AH23" s="57">
        <v>0.7445485043332402</v>
      </c>
      <c r="AI23" s="57">
        <v>0.9368336025848142</v>
      </c>
      <c r="AJ23" s="57">
        <v>0.8284888144879013</v>
      </c>
      <c r="AK23" s="57">
        <v>0.6269193074158772</v>
      </c>
      <c r="AL23" s="57">
        <v>0.5848311877580763</v>
      </c>
      <c r="AM23" s="57">
        <v>0.7258241403780401</v>
      </c>
      <c r="AN23" s="57">
        <v>0.5727080482647096</v>
      </c>
      <c r="AO23" s="57">
        <v>0.4375511746551616</v>
      </c>
      <c r="AP23" s="57">
        <v>0.42699100299900034</v>
      </c>
      <c r="AQ23" s="57">
        <v>0.6491516930345765</v>
      </c>
      <c r="AR23" s="170">
        <v>0.5549490015802327</v>
      </c>
      <c r="AS23" s="170">
        <v>0.3077997967479675</v>
      </c>
      <c r="AT23" s="170">
        <v>0.02029541098207239</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8" scale="85" r:id="rId1"/>
</worksheet>
</file>

<file path=xl/worksheets/sheet13.xml><?xml version="1.0" encoding="utf-8"?>
<worksheet xmlns="http://schemas.openxmlformats.org/spreadsheetml/2006/main" xmlns:r="http://schemas.openxmlformats.org/officeDocument/2006/relationships">
  <sheetPr>
    <pageSetUpPr fitToPage="1"/>
  </sheetPr>
  <dimension ref="A1:W49"/>
  <sheetViews>
    <sheetView zoomScaleSheetLayoutView="100" zoomScalePageLayoutView="0" workbookViewId="0" topLeftCell="A1">
      <selection activeCell="A1" sqref="A1"/>
    </sheetView>
  </sheetViews>
  <sheetFormatPr defaultColWidth="9.140625" defaultRowHeight="12.75"/>
  <cols>
    <col min="1" max="1" width="11.140625" style="240" bestFit="1" customWidth="1"/>
    <col min="2" max="2" width="12.140625" style="40" customWidth="1"/>
    <col min="3" max="3" width="8.00390625" style="40" customWidth="1"/>
    <col min="4" max="4" width="8.57421875" style="40" hidden="1" customWidth="1"/>
    <col min="5" max="5" width="69.57421875" style="40" customWidth="1"/>
    <col min="6" max="15" width="11.00390625" style="40" hidden="1" customWidth="1"/>
    <col min="16" max="16" width="10.421875" style="40" hidden="1" customWidth="1"/>
    <col min="17" max="17" width="11.00390625" style="40" hidden="1" customWidth="1"/>
    <col min="18" max="18" width="10.140625" style="40" customWidth="1"/>
    <col min="19" max="19" width="10.8515625" style="40" bestFit="1" customWidth="1"/>
    <col min="20" max="16384" width="9.140625" style="40" customWidth="1"/>
  </cols>
  <sheetData>
    <row r="1" spans="1:5" ht="17.25">
      <c r="A1" s="249">
        <v>42735</v>
      </c>
      <c r="B1" s="97" t="s">
        <v>141</v>
      </c>
      <c r="C1" s="98"/>
      <c r="D1" s="99" t="str">
        <f>Company</f>
        <v>AB Electrolux</v>
      </c>
      <c r="E1" s="99" t="str">
        <f>Company</f>
        <v>AB Electrolux</v>
      </c>
    </row>
    <row r="2" spans="1:5" ht="31.5" customHeight="1">
      <c r="A2" s="250"/>
      <c r="B2" s="97" t="s">
        <v>143</v>
      </c>
      <c r="C2" s="98"/>
      <c r="D2" s="100">
        <f>A1</f>
        <v>42735</v>
      </c>
      <c r="E2" s="101">
        <v>42004</v>
      </c>
    </row>
    <row r="3" spans="1:5" ht="12.75">
      <c r="A3" s="250"/>
      <c r="B3" s="97" t="s">
        <v>144</v>
      </c>
      <c r="C3" s="98" t="s">
        <v>145</v>
      </c>
      <c r="D3" s="102" t="s">
        <v>146</v>
      </c>
      <c r="E3" s="102" t="s">
        <v>147</v>
      </c>
    </row>
    <row r="4" spans="1:12" ht="12.75">
      <c r="A4" s="240" t="s">
        <v>34</v>
      </c>
      <c r="B4" s="97" t="s">
        <v>148</v>
      </c>
      <c r="D4" s="34" t="s">
        <v>340</v>
      </c>
      <c r="E4" s="34" t="s">
        <v>340</v>
      </c>
      <c r="F4" s="34"/>
      <c r="G4" s="34"/>
      <c r="H4" s="34"/>
      <c r="I4" s="34"/>
      <c r="L4" s="141"/>
    </row>
    <row r="5" spans="2:21" ht="12.75">
      <c r="B5" s="97" t="s">
        <v>150</v>
      </c>
      <c r="C5" s="103" t="s">
        <v>284</v>
      </c>
      <c r="D5" s="34"/>
      <c r="E5" s="34"/>
      <c r="F5" s="34"/>
      <c r="G5" s="34"/>
      <c r="H5" s="34"/>
      <c r="I5" s="34"/>
      <c r="L5" s="141"/>
      <c r="U5" s="173"/>
    </row>
    <row r="6" spans="1:23" s="41" customFormat="1" ht="12.75">
      <c r="A6" s="245" t="s">
        <v>35</v>
      </c>
      <c r="B6" s="113" t="s">
        <v>149</v>
      </c>
      <c r="C6" s="103" t="s">
        <v>284</v>
      </c>
      <c r="D6" s="103"/>
      <c r="E6" s="154" t="s">
        <v>277</v>
      </c>
      <c r="F6" s="154">
        <v>2000</v>
      </c>
      <c r="G6" s="154">
        <v>2001</v>
      </c>
      <c r="H6" s="154">
        <v>2002</v>
      </c>
      <c r="I6" s="154">
        <v>2003</v>
      </c>
      <c r="J6" s="155">
        <v>2004</v>
      </c>
      <c r="K6" s="155">
        <v>2004</v>
      </c>
      <c r="L6" s="87">
        <v>2005</v>
      </c>
      <c r="M6" s="155">
        <v>2006</v>
      </c>
      <c r="N6" s="155">
        <v>2007</v>
      </c>
      <c r="O6" s="155">
        <v>2008</v>
      </c>
      <c r="P6" s="155">
        <v>2009</v>
      </c>
      <c r="Q6" s="155">
        <v>2010</v>
      </c>
      <c r="R6" s="155">
        <v>2011</v>
      </c>
      <c r="S6" s="87">
        <v>2012</v>
      </c>
      <c r="T6" s="87">
        <v>2013</v>
      </c>
      <c r="U6" s="87">
        <v>2014</v>
      </c>
      <c r="V6" s="87">
        <v>2015</v>
      </c>
      <c r="W6" s="87">
        <v>2016</v>
      </c>
    </row>
    <row r="7" spans="1:10" s="33" customFormat="1" ht="12.75">
      <c r="A7" s="238" t="s">
        <v>571</v>
      </c>
      <c r="B7" s="240"/>
      <c r="C7" s="238"/>
      <c r="E7" s="33" t="s">
        <v>31</v>
      </c>
      <c r="F7" s="33" t="s">
        <v>278</v>
      </c>
      <c r="G7" s="33" t="s">
        <v>278</v>
      </c>
      <c r="H7" s="33" t="s">
        <v>278</v>
      </c>
      <c r="I7" s="33" t="s">
        <v>278</v>
      </c>
      <c r="J7" s="33" t="s">
        <v>278</v>
      </c>
    </row>
    <row r="8" spans="1:23" ht="12.75">
      <c r="A8" s="240" t="s">
        <v>37</v>
      </c>
      <c r="B8" s="240" t="s">
        <v>39</v>
      </c>
      <c r="C8" s="240"/>
      <c r="E8" s="75" t="s">
        <v>10</v>
      </c>
      <c r="F8" s="1">
        <v>124493</v>
      </c>
      <c r="G8" s="1">
        <v>135803</v>
      </c>
      <c r="H8" s="1">
        <v>133150</v>
      </c>
      <c r="I8" s="1">
        <v>124077</v>
      </c>
      <c r="J8" s="1">
        <v>120651</v>
      </c>
      <c r="K8" s="1">
        <v>120651</v>
      </c>
      <c r="L8" s="1">
        <v>100701</v>
      </c>
      <c r="M8" s="1">
        <v>103848</v>
      </c>
      <c r="N8" s="1">
        <v>104732</v>
      </c>
      <c r="O8" s="1">
        <v>104792</v>
      </c>
      <c r="P8" s="1">
        <v>109132</v>
      </c>
      <c r="Q8" s="1">
        <v>106326</v>
      </c>
      <c r="R8" s="1">
        <v>101598</v>
      </c>
      <c r="S8" s="1">
        <v>109994</v>
      </c>
      <c r="T8" s="1">
        <v>109151</v>
      </c>
      <c r="U8" s="1">
        <v>112143</v>
      </c>
      <c r="V8" s="1">
        <v>123511</v>
      </c>
      <c r="W8" s="1">
        <v>121093</v>
      </c>
    </row>
    <row r="9" spans="1:23" ht="12.75">
      <c r="A9" s="240" t="s">
        <v>36</v>
      </c>
      <c r="B9" s="240" t="s">
        <v>39</v>
      </c>
      <c r="C9" s="240"/>
      <c r="E9" s="94" t="s">
        <v>11</v>
      </c>
      <c r="F9" s="9">
        <v>-93549</v>
      </c>
      <c r="G9" s="9">
        <v>-105654</v>
      </c>
      <c r="H9" s="9">
        <v>-101705</v>
      </c>
      <c r="I9" s="9">
        <v>-93742</v>
      </c>
      <c r="J9" s="9">
        <v>-91006</v>
      </c>
      <c r="K9" s="9">
        <v>-91021</v>
      </c>
      <c r="L9" s="9">
        <v>-77270</v>
      </c>
      <c r="M9" s="9">
        <v>-79664</v>
      </c>
      <c r="N9" s="9">
        <v>-85466</v>
      </c>
      <c r="O9" s="9">
        <v>-86795</v>
      </c>
      <c r="P9" s="9">
        <v>-86980</v>
      </c>
      <c r="Q9" s="9">
        <v>-82697</v>
      </c>
      <c r="R9" s="9">
        <v>-82840</v>
      </c>
      <c r="S9" s="9">
        <v>-87807</v>
      </c>
      <c r="T9" s="9">
        <v>-87892</v>
      </c>
      <c r="U9" s="9">
        <v>-91564</v>
      </c>
      <c r="V9" s="9">
        <v>-99913</v>
      </c>
      <c r="W9" s="9">
        <v>-95820</v>
      </c>
    </row>
    <row r="10" spans="1:23" ht="12.75">
      <c r="A10" s="240" t="s">
        <v>37</v>
      </c>
      <c r="B10" s="240" t="s">
        <v>39</v>
      </c>
      <c r="C10" s="240"/>
      <c r="E10" s="75" t="s">
        <v>12</v>
      </c>
      <c r="F10" s="1">
        <v>30944</v>
      </c>
      <c r="G10" s="1">
        <v>30149</v>
      </c>
      <c r="H10" s="1">
        <v>31445</v>
      </c>
      <c r="I10" s="1">
        <v>30335</v>
      </c>
      <c r="J10" s="1">
        <v>29645</v>
      </c>
      <c r="K10" s="1">
        <v>29630</v>
      </c>
      <c r="L10" s="1">
        <v>23431</v>
      </c>
      <c r="M10" s="1">
        <v>24184</v>
      </c>
      <c r="N10" s="1">
        <v>19266</v>
      </c>
      <c r="O10" s="1">
        <v>17997</v>
      </c>
      <c r="P10" s="1">
        <v>22152</v>
      </c>
      <c r="Q10" s="1">
        <v>23629</v>
      </c>
      <c r="R10" s="1">
        <v>18758</v>
      </c>
      <c r="S10" s="1">
        <v>22187</v>
      </c>
      <c r="T10" s="1">
        <v>21259</v>
      </c>
      <c r="U10" s="1">
        <v>20579</v>
      </c>
      <c r="V10" s="1">
        <v>23598</v>
      </c>
      <c r="W10" s="1">
        <v>25273</v>
      </c>
    </row>
    <row r="11" spans="1:23" ht="12.75">
      <c r="A11" s="240" t="s">
        <v>36</v>
      </c>
      <c r="B11" s="240" t="s">
        <v>39</v>
      </c>
      <c r="C11" s="240"/>
      <c r="E11" s="94" t="s">
        <v>13</v>
      </c>
      <c r="F11" s="9">
        <v>-17092</v>
      </c>
      <c r="G11" s="9">
        <v>-17806</v>
      </c>
      <c r="H11" s="9">
        <v>-17738</v>
      </c>
      <c r="I11" s="9">
        <v>-16877</v>
      </c>
      <c r="J11" s="9">
        <v>-17369</v>
      </c>
      <c r="K11" s="9">
        <v>-17369</v>
      </c>
      <c r="L11" s="9">
        <v>-14635</v>
      </c>
      <c r="M11" s="9">
        <v>-15294</v>
      </c>
      <c r="N11" s="9">
        <v>-10219</v>
      </c>
      <c r="O11" s="9">
        <v>-11788</v>
      </c>
      <c r="P11" s="9">
        <v>-11394</v>
      </c>
      <c r="Q11" s="9">
        <v>-11698</v>
      </c>
      <c r="R11" s="9">
        <v>-10821</v>
      </c>
      <c r="S11" s="9">
        <v>-11673</v>
      </c>
      <c r="T11" s="9">
        <v>-11564</v>
      </c>
      <c r="U11" s="9">
        <v>-11647</v>
      </c>
      <c r="V11" s="9">
        <v>-12719</v>
      </c>
      <c r="W11" s="9">
        <v>-13208</v>
      </c>
    </row>
    <row r="12" spans="1:23" ht="12.75">
      <c r="A12" s="240" t="s">
        <v>36</v>
      </c>
      <c r="B12" s="240" t="s">
        <v>39</v>
      </c>
      <c r="C12" s="240"/>
      <c r="E12" s="94" t="s">
        <v>14</v>
      </c>
      <c r="F12" s="9">
        <v>-5585</v>
      </c>
      <c r="G12" s="9">
        <v>-5790</v>
      </c>
      <c r="H12" s="9">
        <v>-5405</v>
      </c>
      <c r="I12" s="9">
        <v>-5699</v>
      </c>
      <c r="J12" s="9">
        <v>-5513</v>
      </c>
      <c r="K12" s="9">
        <v>-5560</v>
      </c>
      <c r="L12" s="9">
        <v>-4945</v>
      </c>
      <c r="M12" s="9">
        <v>-4467</v>
      </c>
      <c r="N12" s="9">
        <v>-4417</v>
      </c>
      <c r="O12" s="9">
        <v>-4839</v>
      </c>
      <c r="P12" s="9">
        <v>-5375</v>
      </c>
      <c r="Q12" s="9">
        <v>-5428</v>
      </c>
      <c r="R12" s="9">
        <v>-4972</v>
      </c>
      <c r="S12" s="9">
        <v>-5541</v>
      </c>
      <c r="T12" s="9">
        <v>-5646</v>
      </c>
      <c r="U12" s="9">
        <v>-5454</v>
      </c>
      <c r="V12" s="9">
        <v>-6019</v>
      </c>
      <c r="W12" s="9">
        <v>-5812</v>
      </c>
    </row>
    <row r="13" spans="1:23" ht="12.75">
      <c r="A13" s="240" t="s">
        <v>36</v>
      </c>
      <c r="B13" s="240" t="s">
        <v>39</v>
      </c>
      <c r="C13" s="240"/>
      <c r="E13" s="53" t="s">
        <v>15</v>
      </c>
      <c r="F13" s="9">
        <v>-217</v>
      </c>
      <c r="G13" s="9">
        <v>-131</v>
      </c>
      <c r="H13" s="9">
        <v>-137</v>
      </c>
      <c r="I13" s="9">
        <v>-121</v>
      </c>
      <c r="J13" s="9">
        <v>-89</v>
      </c>
      <c r="K13" s="9">
        <v>66</v>
      </c>
      <c r="L13" s="9">
        <v>173</v>
      </c>
      <c r="M13" s="9">
        <v>152</v>
      </c>
      <c r="N13" s="9">
        <v>207</v>
      </c>
      <c r="O13" s="9">
        <v>173</v>
      </c>
      <c r="P13" s="9">
        <v>-61</v>
      </c>
      <c r="Q13" s="9">
        <v>-9</v>
      </c>
      <c r="R13" s="9">
        <v>190</v>
      </c>
      <c r="S13" s="9">
        <v>59</v>
      </c>
      <c r="T13" s="9">
        <v>6</v>
      </c>
      <c r="U13" s="9">
        <v>103</v>
      </c>
      <c r="V13" s="9">
        <v>-2119</v>
      </c>
      <c r="W13" s="9">
        <v>21</v>
      </c>
    </row>
    <row r="14" spans="1:23" ht="12.75">
      <c r="A14" s="240" t="s">
        <v>36</v>
      </c>
      <c r="B14" s="240"/>
      <c r="C14" s="240"/>
      <c r="E14" s="53" t="s">
        <v>454</v>
      </c>
      <c r="F14" s="9">
        <v>-448</v>
      </c>
      <c r="G14" s="9">
        <v>-141</v>
      </c>
      <c r="H14" s="9">
        <v>-434</v>
      </c>
      <c r="I14" s="9">
        <v>-463</v>
      </c>
      <c r="J14" s="9">
        <v>-1960</v>
      </c>
      <c r="K14" s="9">
        <v>-1960</v>
      </c>
      <c r="L14" s="9">
        <v>-2980</v>
      </c>
      <c r="M14" s="9">
        <v>-542</v>
      </c>
      <c r="N14" s="9">
        <v>-362</v>
      </c>
      <c r="O14" s="9">
        <v>-355</v>
      </c>
      <c r="P14" s="9">
        <v>-1561</v>
      </c>
      <c r="Q14" s="9">
        <v>-1064</v>
      </c>
      <c r="R14" s="9">
        <v>-138</v>
      </c>
      <c r="S14" s="9">
        <v>-1032</v>
      </c>
      <c r="T14" s="9">
        <v>-2475</v>
      </c>
      <c r="U14" s="9"/>
      <c r="V14" s="9"/>
      <c r="W14" s="9"/>
    </row>
    <row r="15" spans="1:23" ht="12.75">
      <c r="A15" s="240" t="s">
        <v>37</v>
      </c>
      <c r="B15" s="240" t="s">
        <v>39</v>
      </c>
      <c r="C15" s="240"/>
      <c r="E15" s="77" t="s">
        <v>17</v>
      </c>
      <c r="F15" s="1">
        <v>7602</v>
      </c>
      <c r="G15" s="1">
        <v>6281</v>
      </c>
      <c r="H15" s="1">
        <v>7731</v>
      </c>
      <c r="I15" s="1">
        <v>7175</v>
      </c>
      <c r="J15" s="1">
        <v>4714</v>
      </c>
      <c r="K15" s="1">
        <v>4807</v>
      </c>
      <c r="L15" s="1">
        <v>1044</v>
      </c>
      <c r="M15" s="1">
        <v>4033</v>
      </c>
      <c r="N15" s="1">
        <v>4475</v>
      </c>
      <c r="O15" s="1">
        <v>1188</v>
      </c>
      <c r="P15" s="1">
        <v>3761</v>
      </c>
      <c r="Q15" s="1">
        <v>5430</v>
      </c>
      <c r="R15" s="1">
        <v>3017</v>
      </c>
      <c r="S15" s="1">
        <v>4000</v>
      </c>
      <c r="T15" s="1">
        <v>1580</v>
      </c>
      <c r="U15" s="1">
        <v>3581</v>
      </c>
      <c r="V15" s="1">
        <v>2741</v>
      </c>
      <c r="W15" s="1">
        <v>6274</v>
      </c>
    </row>
    <row r="16" spans="1:23" ht="12.75">
      <c r="A16" s="240" t="s">
        <v>36</v>
      </c>
      <c r="B16" s="255" t="s">
        <v>285</v>
      </c>
      <c r="C16" s="240" t="s">
        <v>530</v>
      </c>
      <c r="E16" s="53" t="s">
        <v>531</v>
      </c>
      <c r="F16" s="10">
        <v>6.106367426280996</v>
      </c>
      <c r="G16" s="10">
        <v>4.6250819201343125</v>
      </c>
      <c r="H16" s="10">
        <v>5.806233571160345</v>
      </c>
      <c r="I16" s="10">
        <v>5.782699452759174</v>
      </c>
      <c r="J16" s="10">
        <v>3.9071371144872398</v>
      </c>
      <c r="K16" s="10">
        <v>3.9842189455537045</v>
      </c>
      <c r="L16" s="10">
        <v>1.0367325051389757</v>
      </c>
      <c r="M16" s="10">
        <v>3.8835605885524997</v>
      </c>
      <c r="N16" s="10">
        <v>4.272810602299202</v>
      </c>
      <c r="O16" s="10">
        <v>1.1336743262844493</v>
      </c>
      <c r="P16" s="10">
        <v>3.446285232562402</v>
      </c>
      <c r="Q16" s="10">
        <v>5.10693527453304</v>
      </c>
      <c r="R16" s="10">
        <v>2.9695466446189887</v>
      </c>
      <c r="S16" s="10">
        <v>3.6</v>
      </c>
      <c r="T16" s="10">
        <v>1.4475359822631035</v>
      </c>
      <c r="U16" s="10">
        <v>3.193244339816128</v>
      </c>
      <c r="V16" s="10">
        <v>2.2192355336771623</v>
      </c>
      <c r="W16" s="10">
        <v>5.18114176707159</v>
      </c>
    </row>
    <row r="17" spans="1:23" ht="12.75">
      <c r="A17" s="240" t="s">
        <v>36</v>
      </c>
      <c r="B17" s="240" t="s">
        <v>39</v>
      </c>
      <c r="C17" s="240"/>
      <c r="E17" s="53" t="s">
        <v>18</v>
      </c>
      <c r="F17" s="9">
        <v>-1072</v>
      </c>
      <c r="G17" s="9">
        <v>-1066</v>
      </c>
      <c r="H17" s="9">
        <v>-186</v>
      </c>
      <c r="I17" s="9">
        <v>-169</v>
      </c>
      <c r="J17" s="9">
        <v>-355</v>
      </c>
      <c r="K17" s="9">
        <v>-355</v>
      </c>
      <c r="L17" s="9">
        <v>-550</v>
      </c>
      <c r="M17" s="9">
        <v>-208</v>
      </c>
      <c r="N17" s="9">
        <v>-440</v>
      </c>
      <c r="O17" s="9">
        <v>-535</v>
      </c>
      <c r="P17" s="9">
        <v>-277</v>
      </c>
      <c r="Q17" s="9">
        <v>-124</v>
      </c>
      <c r="R17" s="9">
        <v>-237</v>
      </c>
      <c r="S17" s="9">
        <v>-846</v>
      </c>
      <c r="T17" s="9">
        <v>-676</v>
      </c>
      <c r="U17" s="9">
        <v>-584</v>
      </c>
      <c r="V17" s="9">
        <v>-640</v>
      </c>
      <c r="W17" s="9">
        <v>-693</v>
      </c>
    </row>
    <row r="18" spans="1:23" ht="12.75">
      <c r="A18" s="240" t="s">
        <v>37</v>
      </c>
      <c r="B18" s="240" t="s">
        <v>39</v>
      </c>
      <c r="C18" s="240"/>
      <c r="E18" s="75" t="s">
        <v>19</v>
      </c>
      <c r="F18" s="1">
        <v>6530</v>
      </c>
      <c r="G18" s="1">
        <v>5215</v>
      </c>
      <c r="H18" s="1">
        <v>7545</v>
      </c>
      <c r="I18" s="1">
        <v>7006</v>
      </c>
      <c r="J18" s="1">
        <v>4359</v>
      </c>
      <c r="K18" s="1">
        <v>4452</v>
      </c>
      <c r="L18" s="1">
        <v>494</v>
      </c>
      <c r="M18" s="1">
        <v>3825</v>
      </c>
      <c r="N18" s="1">
        <v>4035</v>
      </c>
      <c r="O18" s="1">
        <v>653</v>
      </c>
      <c r="P18" s="1">
        <v>3484</v>
      </c>
      <c r="Q18" s="1">
        <v>5306</v>
      </c>
      <c r="R18" s="1">
        <v>2780</v>
      </c>
      <c r="S18" s="1">
        <v>3154</v>
      </c>
      <c r="T18" s="1">
        <v>904</v>
      </c>
      <c r="U18" s="1">
        <v>2997</v>
      </c>
      <c r="V18" s="1">
        <v>2101</v>
      </c>
      <c r="W18" s="1">
        <v>5581</v>
      </c>
    </row>
    <row r="19" spans="1:23" ht="12.75">
      <c r="A19" s="240" t="s">
        <v>36</v>
      </c>
      <c r="B19" s="240"/>
      <c r="C19" s="240" t="s">
        <v>530</v>
      </c>
      <c r="E19" s="53" t="s">
        <v>532</v>
      </c>
      <c r="F19" s="10">
        <v>5.245274834729663</v>
      </c>
      <c r="G19" s="10">
        <v>3.840121352252895</v>
      </c>
      <c r="H19" s="10">
        <v>5.6665414945550125</v>
      </c>
      <c r="I19" s="10">
        <v>5.6464937095513275</v>
      </c>
      <c r="J19" s="10">
        <v>3.612900017405575</v>
      </c>
      <c r="K19" s="10">
        <v>3.689981848472039</v>
      </c>
      <c r="L19" s="10">
        <v>0.49056116622476437</v>
      </c>
      <c r="M19" s="10">
        <v>3.6832678530159466</v>
      </c>
      <c r="N19" s="10">
        <v>3.8526906771569336</v>
      </c>
      <c r="O19" s="10">
        <v>0.6231391709290786</v>
      </c>
      <c r="P19" s="10">
        <v>3.1924641718286115</v>
      </c>
      <c r="Q19" s="10">
        <v>4.990312811541862</v>
      </c>
      <c r="R19" s="10">
        <v>2.7362743361089783</v>
      </c>
      <c r="S19" s="10">
        <v>2.9</v>
      </c>
      <c r="T19" s="10">
        <v>0.8282104607378769</v>
      </c>
      <c r="U19" s="10">
        <v>2.6724806719991436</v>
      </c>
      <c r="V19" s="10">
        <v>1.701063063208945</v>
      </c>
      <c r="W19" s="10">
        <v>4.608854351614049</v>
      </c>
    </row>
    <row r="20" spans="1:23" ht="12.75">
      <c r="A20" s="240" t="s">
        <v>36</v>
      </c>
      <c r="B20" s="240"/>
      <c r="C20" s="240"/>
      <c r="E20" s="53" t="s">
        <v>20</v>
      </c>
      <c r="F20" s="9">
        <v>-2121</v>
      </c>
      <c r="G20" s="9">
        <v>-1477</v>
      </c>
      <c r="H20" s="9">
        <v>-2459</v>
      </c>
      <c r="I20" s="9">
        <v>-2226</v>
      </c>
      <c r="J20" s="9">
        <v>-1210</v>
      </c>
      <c r="K20" s="9">
        <v>-1193</v>
      </c>
      <c r="L20" s="9">
        <v>-636</v>
      </c>
      <c r="M20" s="9">
        <v>-1177</v>
      </c>
      <c r="N20" s="9">
        <v>-1110</v>
      </c>
      <c r="O20" s="9">
        <v>-287</v>
      </c>
      <c r="P20" s="9">
        <v>-877</v>
      </c>
      <c r="Q20" s="9">
        <v>-1309</v>
      </c>
      <c r="R20" s="9">
        <v>-716</v>
      </c>
      <c r="S20" s="9">
        <v>-789</v>
      </c>
      <c r="T20" s="9">
        <v>-232</v>
      </c>
      <c r="U20" s="9">
        <v>-755</v>
      </c>
      <c r="V20" s="9">
        <v>-533</v>
      </c>
      <c r="W20" s="9">
        <v>-1088</v>
      </c>
    </row>
    <row r="21" spans="1:19" ht="12.75">
      <c r="A21" s="240" t="s">
        <v>36</v>
      </c>
      <c r="B21" s="240"/>
      <c r="C21" s="240"/>
      <c r="E21" s="76" t="s">
        <v>279</v>
      </c>
      <c r="F21" s="9">
        <v>48</v>
      </c>
      <c r="G21" s="9">
        <v>132</v>
      </c>
      <c r="H21" s="9">
        <v>9</v>
      </c>
      <c r="I21" s="9">
        <v>-2</v>
      </c>
      <c r="J21" s="9">
        <v>-1</v>
      </c>
      <c r="K21" s="9"/>
      <c r="L21" s="9"/>
      <c r="M21" s="9"/>
      <c r="N21" s="9"/>
      <c r="O21" s="9"/>
      <c r="P21" s="9"/>
      <c r="Q21" s="9"/>
      <c r="R21" s="9"/>
      <c r="S21" s="9"/>
    </row>
    <row r="22" spans="1:23" ht="12.75">
      <c r="A22" s="240" t="s">
        <v>37</v>
      </c>
      <c r="B22" s="240" t="s">
        <v>39</v>
      </c>
      <c r="C22" s="240"/>
      <c r="E22" s="77" t="s">
        <v>21</v>
      </c>
      <c r="F22" s="1">
        <v>4457</v>
      </c>
      <c r="G22" s="1">
        <v>3870</v>
      </c>
      <c r="H22" s="1">
        <v>5095</v>
      </c>
      <c r="I22" s="1">
        <v>4778</v>
      </c>
      <c r="J22" s="1">
        <v>3148</v>
      </c>
      <c r="K22" s="1">
        <v>3259</v>
      </c>
      <c r="L22" s="1">
        <v>-142</v>
      </c>
      <c r="M22" s="1">
        <v>2648</v>
      </c>
      <c r="N22" s="1">
        <v>2925</v>
      </c>
      <c r="O22" s="1">
        <v>366</v>
      </c>
      <c r="P22" s="1">
        <v>2607</v>
      </c>
      <c r="Q22" s="1">
        <v>3997</v>
      </c>
      <c r="R22" s="1">
        <v>2064</v>
      </c>
      <c r="S22" s="14">
        <v>2365</v>
      </c>
      <c r="T22" s="14">
        <v>672</v>
      </c>
      <c r="U22" s="14">
        <v>2242</v>
      </c>
      <c r="V22" s="14">
        <v>1568</v>
      </c>
      <c r="W22" s="14">
        <v>4493</v>
      </c>
    </row>
    <row r="23" spans="1:23" ht="12.75">
      <c r="A23" s="240" t="s">
        <v>38</v>
      </c>
      <c r="B23" s="240"/>
      <c r="C23" s="240"/>
      <c r="E23" s="77"/>
      <c r="F23" s="1"/>
      <c r="G23" s="1"/>
      <c r="H23" s="1"/>
      <c r="I23" s="1"/>
      <c r="J23" s="1"/>
      <c r="K23" s="1"/>
      <c r="L23" s="1"/>
      <c r="M23" s="1"/>
      <c r="N23" s="1"/>
      <c r="O23" s="1"/>
      <c r="P23" s="1"/>
      <c r="Q23" s="1"/>
      <c r="R23" s="1"/>
      <c r="S23" s="1"/>
      <c r="T23" s="1"/>
      <c r="U23" s="1"/>
      <c r="V23" s="1"/>
      <c r="W23" s="1"/>
    </row>
    <row r="24" spans="1:23" ht="12.75">
      <c r="A24" s="240" t="s">
        <v>36</v>
      </c>
      <c r="B24" s="240"/>
      <c r="C24" s="240"/>
      <c r="E24" s="53" t="s">
        <v>416</v>
      </c>
      <c r="F24" s="9"/>
      <c r="G24" s="9"/>
      <c r="H24" s="9"/>
      <c r="I24" s="9"/>
      <c r="J24" s="9"/>
      <c r="K24" s="9"/>
      <c r="L24" s="9"/>
      <c r="M24" s="9"/>
      <c r="N24" s="9"/>
      <c r="O24" s="9"/>
      <c r="P24" s="9"/>
      <c r="Q24" s="9"/>
      <c r="R24" s="9"/>
      <c r="S24" s="9">
        <v>-917</v>
      </c>
      <c r="T24" s="9">
        <v>1851</v>
      </c>
      <c r="U24" s="9">
        <v>-1534</v>
      </c>
      <c r="V24" s="9">
        <v>343</v>
      </c>
      <c r="W24" s="9">
        <v>-236</v>
      </c>
    </row>
    <row r="25" spans="1:23" ht="12.75">
      <c r="A25" s="240" t="s">
        <v>36</v>
      </c>
      <c r="B25" s="240"/>
      <c r="C25" s="240"/>
      <c r="E25" s="53" t="s">
        <v>280</v>
      </c>
      <c r="F25" s="9"/>
      <c r="G25" s="9"/>
      <c r="H25" s="9"/>
      <c r="I25" s="9"/>
      <c r="J25" s="9"/>
      <c r="K25" s="9"/>
      <c r="L25" s="9"/>
      <c r="M25" s="9"/>
      <c r="N25" s="9">
        <v>248</v>
      </c>
      <c r="O25" s="9">
        <v>-403</v>
      </c>
      <c r="P25" s="9">
        <v>138</v>
      </c>
      <c r="Q25" s="9">
        <v>77</v>
      </c>
      <c r="R25" s="9">
        <v>-91</v>
      </c>
      <c r="S25" s="9">
        <v>23</v>
      </c>
      <c r="T25" s="9">
        <v>-69</v>
      </c>
      <c r="U25" s="9">
        <v>19</v>
      </c>
      <c r="V25" s="9">
        <v>-39</v>
      </c>
      <c r="W25" s="9">
        <v>43</v>
      </c>
    </row>
    <row r="26" spans="1:23" ht="12.75">
      <c r="A26" s="240" t="s">
        <v>36</v>
      </c>
      <c r="B26" s="240"/>
      <c r="C26" s="240"/>
      <c r="E26" s="53" t="s">
        <v>281</v>
      </c>
      <c r="F26" s="9"/>
      <c r="G26" s="9"/>
      <c r="H26" s="9"/>
      <c r="I26" s="9"/>
      <c r="J26" s="9"/>
      <c r="K26" s="9"/>
      <c r="L26" s="9"/>
      <c r="M26" s="9"/>
      <c r="N26" s="9">
        <v>72</v>
      </c>
      <c r="O26" s="9">
        <v>21</v>
      </c>
      <c r="P26" s="9">
        <v>-112</v>
      </c>
      <c r="Q26" s="9">
        <v>-117</v>
      </c>
      <c r="R26" s="9">
        <v>111</v>
      </c>
      <c r="S26" s="9">
        <v>34</v>
      </c>
      <c r="T26" s="9">
        <v>41</v>
      </c>
      <c r="U26" s="9">
        <v>-30</v>
      </c>
      <c r="V26" s="9">
        <v>-28</v>
      </c>
      <c r="W26" s="9">
        <v>-82</v>
      </c>
    </row>
    <row r="27" spans="1:23" ht="12.75">
      <c r="A27" s="240" t="s">
        <v>36</v>
      </c>
      <c r="B27" s="240"/>
      <c r="C27" s="240"/>
      <c r="E27" s="53" t="s">
        <v>282</v>
      </c>
      <c r="F27" s="9"/>
      <c r="G27" s="9"/>
      <c r="H27" s="9"/>
      <c r="I27" s="9"/>
      <c r="J27" s="9"/>
      <c r="K27" s="9"/>
      <c r="L27" s="9"/>
      <c r="M27" s="9"/>
      <c r="N27" s="9">
        <v>528</v>
      </c>
      <c r="O27" s="9">
        <v>1589</v>
      </c>
      <c r="P27" s="9">
        <v>-264</v>
      </c>
      <c r="Q27" s="9">
        <v>-1108</v>
      </c>
      <c r="R27" s="9">
        <v>-223</v>
      </c>
      <c r="S27" s="9">
        <v>-1532</v>
      </c>
      <c r="T27" s="9">
        <v>-1518</v>
      </c>
      <c r="U27" s="9">
        <v>2428</v>
      </c>
      <c r="V27" s="9">
        <v>-1454</v>
      </c>
      <c r="W27" s="9">
        <v>328</v>
      </c>
    </row>
    <row r="28" spans="1:23" ht="12.75">
      <c r="A28" s="240" t="s">
        <v>36</v>
      </c>
      <c r="B28" s="240"/>
      <c r="C28" s="240"/>
      <c r="E28" s="53" t="s">
        <v>22</v>
      </c>
      <c r="F28" s="9"/>
      <c r="G28" s="9"/>
      <c r="H28" s="9"/>
      <c r="I28" s="9"/>
      <c r="J28" s="9"/>
      <c r="K28" s="9"/>
      <c r="L28" s="9"/>
      <c r="M28" s="9"/>
      <c r="N28" s="9">
        <v>0</v>
      </c>
      <c r="O28" s="9">
        <v>0</v>
      </c>
      <c r="P28" s="9">
        <v>0</v>
      </c>
      <c r="Q28" s="9">
        <v>-30</v>
      </c>
      <c r="R28" s="9">
        <v>-104</v>
      </c>
      <c r="S28" s="9">
        <v>49</v>
      </c>
      <c r="T28" s="9">
        <f>-636+29</f>
        <v>-607</v>
      </c>
      <c r="U28" s="9">
        <v>798</v>
      </c>
      <c r="V28" s="9">
        <v>-85</v>
      </c>
      <c r="W28" s="9">
        <v>24</v>
      </c>
    </row>
    <row r="29" spans="1:23" ht="12.75">
      <c r="A29" s="240" t="s">
        <v>37</v>
      </c>
      <c r="B29" s="240"/>
      <c r="C29" s="240"/>
      <c r="E29" s="62" t="s">
        <v>283</v>
      </c>
      <c r="F29" s="14"/>
      <c r="G29" s="14"/>
      <c r="H29" s="14"/>
      <c r="I29" s="14"/>
      <c r="J29" s="14"/>
      <c r="K29" s="14"/>
      <c r="L29" s="14"/>
      <c r="M29" s="14"/>
      <c r="N29" s="14">
        <v>848</v>
      </c>
      <c r="O29" s="14">
        <v>1207</v>
      </c>
      <c r="P29" s="14">
        <v>-238</v>
      </c>
      <c r="Q29" s="14">
        <v>-1178</v>
      </c>
      <c r="R29" s="14">
        <v>-307</v>
      </c>
      <c r="S29" s="14">
        <v>-2343</v>
      </c>
      <c r="T29" s="14">
        <v>-302</v>
      </c>
      <c r="U29" s="14">
        <v>1681</v>
      </c>
      <c r="V29" s="14">
        <v>-1263</v>
      </c>
      <c r="W29" s="14">
        <v>77</v>
      </c>
    </row>
    <row r="30" spans="1:23" ht="12.75">
      <c r="A30" s="240" t="s">
        <v>37</v>
      </c>
      <c r="B30" s="240" t="s">
        <v>39</v>
      </c>
      <c r="C30" s="240"/>
      <c r="E30" s="62" t="s">
        <v>23</v>
      </c>
      <c r="F30" s="14"/>
      <c r="G30" s="14"/>
      <c r="H30" s="14"/>
      <c r="I30" s="14"/>
      <c r="J30" s="14"/>
      <c r="K30" s="14"/>
      <c r="L30" s="14"/>
      <c r="M30" s="14"/>
      <c r="N30" s="14">
        <v>3773</v>
      </c>
      <c r="O30" s="14">
        <v>1573</v>
      </c>
      <c r="P30" s="14">
        <v>2369</v>
      </c>
      <c r="Q30" s="14">
        <v>2819</v>
      </c>
      <c r="R30" s="14">
        <v>1757</v>
      </c>
      <c r="S30" s="14">
        <v>22</v>
      </c>
      <c r="T30" s="14">
        <v>370</v>
      </c>
      <c r="U30" s="14">
        <v>3923</v>
      </c>
      <c r="V30" s="14">
        <v>305</v>
      </c>
      <c r="W30" s="14">
        <v>4570</v>
      </c>
    </row>
    <row r="31" spans="1:23" ht="12.75">
      <c r="A31" s="240" t="s">
        <v>38</v>
      </c>
      <c r="B31" s="240"/>
      <c r="C31" s="240"/>
      <c r="E31" s="77"/>
      <c r="F31" s="1"/>
      <c r="G31" s="1"/>
      <c r="H31" s="1"/>
      <c r="I31" s="1"/>
      <c r="J31" s="1"/>
      <c r="K31" s="1"/>
      <c r="L31" s="1"/>
      <c r="M31" s="1"/>
      <c r="N31" s="1"/>
      <c r="O31" s="1"/>
      <c r="P31" s="1"/>
      <c r="Q31" s="1"/>
      <c r="R31" s="1"/>
      <c r="S31" s="9"/>
      <c r="T31" s="9"/>
      <c r="U31" s="9"/>
      <c r="V31" s="9"/>
      <c r="W31" s="9"/>
    </row>
    <row r="32" spans="1:23" s="33" customFormat="1" ht="12.75">
      <c r="A32" s="238" t="s">
        <v>571</v>
      </c>
      <c r="B32" s="240"/>
      <c r="C32" s="238"/>
      <c r="E32" s="80" t="s">
        <v>24</v>
      </c>
      <c r="F32" s="224"/>
      <c r="G32" s="224"/>
      <c r="H32" s="224"/>
      <c r="I32" s="224"/>
      <c r="J32" s="224"/>
      <c r="K32" s="224"/>
      <c r="L32" s="224"/>
      <c r="M32" s="224"/>
      <c r="N32" s="224"/>
      <c r="O32" s="224"/>
      <c r="P32" s="224"/>
      <c r="Q32" s="224"/>
      <c r="R32" s="224"/>
      <c r="S32" s="224"/>
      <c r="T32" s="224"/>
      <c r="U32" s="224"/>
      <c r="V32" s="224"/>
      <c r="W32" s="224"/>
    </row>
    <row r="33" spans="1:23" ht="12.75">
      <c r="A33" s="240" t="s">
        <v>36</v>
      </c>
      <c r="B33" s="240"/>
      <c r="C33" s="240"/>
      <c r="E33" s="53" t="s">
        <v>25</v>
      </c>
      <c r="F33" s="9">
        <v>4409</v>
      </c>
      <c r="G33" s="9">
        <v>3738</v>
      </c>
      <c r="H33" s="9">
        <v>5086</v>
      </c>
      <c r="I33" s="9">
        <v>4780</v>
      </c>
      <c r="J33" s="9">
        <v>3149</v>
      </c>
      <c r="K33" s="9">
        <v>3259</v>
      </c>
      <c r="L33" s="9">
        <v>-142</v>
      </c>
      <c r="M33" s="9">
        <v>2648</v>
      </c>
      <c r="N33" s="9">
        <v>2925</v>
      </c>
      <c r="O33" s="9">
        <v>366</v>
      </c>
      <c r="P33" s="9">
        <v>2607</v>
      </c>
      <c r="Q33" s="9">
        <v>3997</v>
      </c>
      <c r="R33" s="9">
        <v>2064</v>
      </c>
      <c r="S33" s="9">
        <v>2362</v>
      </c>
      <c r="T33" s="9">
        <v>671</v>
      </c>
      <c r="U33" s="9">
        <v>2241</v>
      </c>
      <c r="V33" s="9">
        <v>1566</v>
      </c>
      <c r="W33" s="9">
        <v>4494</v>
      </c>
    </row>
    <row r="34" spans="1:23" ht="12.75">
      <c r="A34" s="240" t="s">
        <v>36</v>
      </c>
      <c r="B34" s="240"/>
      <c r="C34" s="240"/>
      <c r="E34" s="53" t="s">
        <v>26</v>
      </c>
      <c r="F34" s="9">
        <v>48</v>
      </c>
      <c r="G34" s="9">
        <v>132</v>
      </c>
      <c r="H34" s="9">
        <v>9</v>
      </c>
      <c r="I34" s="9">
        <v>-2</v>
      </c>
      <c r="J34" s="9">
        <v>-1</v>
      </c>
      <c r="K34" s="9"/>
      <c r="L34" s="9"/>
      <c r="M34" s="9"/>
      <c r="N34" s="9" t="s">
        <v>30</v>
      </c>
      <c r="O34" s="9" t="s">
        <v>30</v>
      </c>
      <c r="P34" s="9" t="s">
        <v>30</v>
      </c>
      <c r="Q34" s="9" t="s">
        <v>30</v>
      </c>
      <c r="R34" s="9">
        <v>0</v>
      </c>
      <c r="S34" s="9">
        <v>3</v>
      </c>
      <c r="T34" s="9">
        <v>1</v>
      </c>
      <c r="U34" s="9">
        <v>1</v>
      </c>
      <c r="V34" s="9">
        <v>2</v>
      </c>
      <c r="W34" s="9">
        <v>-1</v>
      </c>
    </row>
    <row r="35" spans="1:23" ht="12.75">
      <c r="A35" s="240" t="s">
        <v>37</v>
      </c>
      <c r="B35" s="240"/>
      <c r="C35" s="240"/>
      <c r="E35" s="77" t="s">
        <v>27</v>
      </c>
      <c r="F35" s="1">
        <v>4457</v>
      </c>
      <c r="G35" s="1">
        <v>3870</v>
      </c>
      <c r="H35" s="1">
        <v>5095</v>
      </c>
      <c r="I35" s="1">
        <v>4778</v>
      </c>
      <c r="J35" s="1">
        <v>3148</v>
      </c>
      <c r="K35" s="1">
        <v>3259</v>
      </c>
      <c r="L35" s="1">
        <v>-142</v>
      </c>
      <c r="M35" s="1">
        <v>2648</v>
      </c>
      <c r="N35" s="1">
        <v>2925</v>
      </c>
      <c r="O35" s="1">
        <v>366</v>
      </c>
      <c r="P35" s="1">
        <v>2607</v>
      </c>
      <c r="Q35" s="1">
        <v>3997</v>
      </c>
      <c r="R35" s="1">
        <v>2064</v>
      </c>
      <c r="S35" s="14">
        <v>2365</v>
      </c>
      <c r="T35" s="14">
        <v>672</v>
      </c>
      <c r="U35" s="14">
        <v>2242</v>
      </c>
      <c r="V35" s="14">
        <v>1568</v>
      </c>
      <c r="W35" s="14">
        <v>4493</v>
      </c>
    </row>
    <row r="36" spans="1:23" ht="12.75">
      <c r="A36" s="240" t="s">
        <v>38</v>
      </c>
      <c r="B36" s="240"/>
      <c r="C36" s="240"/>
      <c r="E36" s="53"/>
      <c r="F36" s="9"/>
      <c r="G36" s="9"/>
      <c r="H36" s="9"/>
      <c r="I36" s="9"/>
      <c r="J36" s="9"/>
      <c r="K36" s="9"/>
      <c r="L36" s="79"/>
      <c r="M36" s="9"/>
      <c r="N36" s="9"/>
      <c r="O36" s="9"/>
      <c r="P36" s="9"/>
      <c r="Q36" s="9"/>
      <c r="R36" s="9"/>
      <c r="S36" s="9"/>
      <c r="T36" s="9"/>
      <c r="U36" s="9"/>
      <c r="V36" s="9"/>
      <c r="W36" s="9"/>
    </row>
    <row r="37" spans="1:23" s="33" customFormat="1" ht="12.75">
      <c r="A37" s="238" t="s">
        <v>571</v>
      </c>
      <c r="B37" s="238"/>
      <c r="C37" s="238"/>
      <c r="E37" s="80" t="s">
        <v>28</v>
      </c>
      <c r="F37" s="224"/>
      <c r="G37" s="224"/>
      <c r="H37" s="224"/>
      <c r="I37" s="224"/>
      <c r="J37" s="224"/>
      <c r="K37" s="224"/>
      <c r="L37" s="258"/>
      <c r="M37" s="224"/>
      <c r="N37" s="224"/>
      <c r="O37" s="224"/>
      <c r="P37" s="224"/>
      <c r="Q37" s="224"/>
      <c r="R37" s="224"/>
      <c r="S37" s="224"/>
      <c r="T37" s="224"/>
      <c r="U37" s="224"/>
      <c r="V37" s="224"/>
      <c r="W37" s="224"/>
    </row>
    <row r="38" spans="1:23" ht="12.75">
      <c r="A38" s="240" t="s">
        <v>36</v>
      </c>
      <c r="B38" s="240"/>
      <c r="C38" s="240"/>
      <c r="E38" s="53" t="s">
        <v>25</v>
      </c>
      <c r="F38" s="9"/>
      <c r="G38" s="9"/>
      <c r="H38" s="9"/>
      <c r="I38" s="9"/>
      <c r="J38" s="9"/>
      <c r="K38" s="9"/>
      <c r="L38" s="79"/>
      <c r="M38" s="9"/>
      <c r="N38" s="9">
        <v>3773</v>
      </c>
      <c r="O38" s="9">
        <v>1573</v>
      </c>
      <c r="P38" s="9">
        <v>2369</v>
      </c>
      <c r="Q38" s="9">
        <v>2819</v>
      </c>
      <c r="R38" s="9">
        <v>1752</v>
      </c>
      <c r="S38" s="9">
        <v>26</v>
      </c>
      <c r="T38" s="9">
        <v>374</v>
      </c>
      <c r="U38" s="9">
        <v>3922</v>
      </c>
      <c r="V38" s="9">
        <v>307</v>
      </c>
      <c r="W38" s="9">
        <v>4570</v>
      </c>
    </row>
    <row r="39" spans="1:23" ht="12.75">
      <c r="A39" s="240" t="s">
        <v>36</v>
      </c>
      <c r="B39" s="240"/>
      <c r="C39" s="240"/>
      <c r="E39" s="53" t="s">
        <v>29</v>
      </c>
      <c r="F39" s="53"/>
      <c r="G39" s="53"/>
      <c r="H39" s="53"/>
      <c r="I39" s="53"/>
      <c r="J39" s="9"/>
      <c r="K39" s="9"/>
      <c r="L39" s="79"/>
      <c r="M39" s="9"/>
      <c r="N39" s="9" t="s">
        <v>30</v>
      </c>
      <c r="O39" s="9" t="s">
        <v>30</v>
      </c>
      <c r="P39" s="9" t="s">
        <v>30</v>
      </c>
      <c r="Q39" s="9" t="s">
        <v>30</v>
      </c>
      <c r="R39" s="9">
        <v>5</v>
      </c>
      <c r="S39" s="9">
        <v>-4</v>
      </c>
      <c r="T39" s="9">
        <v>-4</v>
      </c>
      <c r="U39" s="9">
        <v>1</v>
      </c>
      <c r="V39" s="9">
        <v>-2</v>
      </c>
      <c r="W39" s="9">
        <v>0</v>
      </c>
    </row>
    <row r="40" spans="1:23" ht="12.75">
      <c r="A40" s="240" t="s">
        <v>37</v>
      </c>
      <c r="B40" s="240"/>
      <c r="C40" s="240"/>
      <c r="E40" s="77" t="s">
        <v>27</v>
      </c>
      <c r="F40" s="77"/>
      <c r="G40" s="77"/>
      <c r="H40" s="77"/>
      <c r="I40" s="77"/>
      <c r="J40" s="1"/>
      <c r="K40" s="1"/>
      <c r="L40" s="78"/>
      <c r="M40" s="1"/>
      <c r="N40" s="1">
        <v>3773</v>
      </c>
      <c r="O40" s="1">
        <v>1573</v>
      </c>
      <c r="P40" s="1">
        <v>2369</v>
      </c>
      <c r="Q40" s="1">
        <v>2819</v>
      </c>
      <c r="R40" s="1">
        <v>1757</v>
      </c>
      <c r="S40" s="14">
        <v>22</v>
      </c>
      <c r="T40" s="14">
        <v>370</v>
      </c>
      <c r="U40" s="14">
        <v>3923</v>
      </c>
      <c r="V40" s="14">
        <v>305</v>
      </c>
      <c r="W40" s="14">
        <v>4570</v>
      </c>
    </row>
    <row r="41" spans="1:23" ht="12.75">
      <c r="A41" s="240" t="s">
        <v>38</v>
      </c>
      <c r="B41" s="240"/>
      <c r="C41" s="240"/>
      <c r="E41" s="53"/>
      <c r="F41" s="53"/>
      <c r="G41" s="53"/>
      <c r="H41" s="53"/>
      <c r="I41" s="53"/>
      <c r="J41" s="9"/>
      <c r="K41" s="9"/>
      <c r="L41" s="79"/>
      <c r="M41" s="9"/>
      <c r="N41" s="9"/>
      <c r="O41" s="9"/>
      <c r="P41" s="9"/>
      <c r="Q41" s="9"/>
      <c r="R41" s="9"/>
      <c r="S41" s="11"/>
      <c r="T41" s="11"/>
      <c r="U41" s="11"/>
      <c r="V41" s="11"/>
      <c r="W41" s="11"/>
    </row>
    <row r="42" spans="1:23" ht="12.75">
      <c r="A42" s="240" t="s">
        <v>36</v>
      </c>
      <c r="B42" s="240" t="s">
        <v>39</v>
      </c>
      <c r="C42" s="240" t="s">
        <v>533</v>
      </c>
      <c r="E42" s="53" t="s">
        <v>536</v>
      </c>
      <c r="F42" s="142">
        <v>12.4</v>
      </c>
      <c r="G42" s="53">
        <v>11.35</v>
      </c>
      <c r="H42" s="53">
        <v>15.58</v>
      </c>
      <c r="I42" s="53">
        <v>15.25</v>
      </c>
      <c r="J42" s="11">
        <v>10.55</v>
      </c>
      <c r="K42" s="11">
        <v>10.92</v>
      </c>
      <c r="L42" s="11">
        <v>-0.49</v>
      </c>
      <c r="M42" s="11">
        <v>9.17</v>
      </c>
      <c r="N42" s="11">
        <v>10.41</v>
      </c>
      <c r="O42" s="11">
        <v>1.29</v>
      </c>
      <c r="P42" s="11">
        <v>9.18</v>
      </c>
      <c r="Q42" s="11">
        <v>14.04</v>
      </c>
      <c r="R42" s="11">
        <v>7.25</v>
      </c>
      <c r="S42" s="11">
        <v>8.26</v>
      </c>
      <c r="T42" s="11">
        <v>2.35</v>
      </c>
      <c r="U42" s="11">
        <v>7.83</v>
      </c>
      <c r="V42" s="11">
        <v>5.45</v>
      </c>
      <c r="W42" s="11">
        <v>15.64</v>
      </c>
    </row>
    <row r="43" spans="1:23" ht="12.75">
      <c r="A43" s="240" t="s">
        <v>36</v>
      </c>
      <c r="B43" s="240" t="s">
        <v>39</v>
      </c>
      <c r="C43" s="240" t="s">
        <v>533</v>
      </c>
      <c r="E43" s="53" t="s">
        <v>539</v>
      </c>
      <c r="F43" s="53"/>
      <c r="G43" s="53"/>
      <c r="H43" s="53"/>
      <c r="I43" s="53"/>
      <c r="J43" s="11"/>
      <c r="K43" s="11"/>
      <c r="L43" s="11"/>
      <c r="M43" s="11"/>
      <c r="N43" s="11">
        <v>10.33</v>
      </c>
      <c r="O43" s="11">
        <v>1.29</v>
      </c>
      <c r="P43" s="11">
        <v>9.16</v>
      </c>
      <c r="Q43" s="11">
        <v>13.97</v>
      </c>
      <c r="R43" s="11">
        <v>7.21</v>
      </c>
      <c r="S43" s="11">
        <v>8.24</v>
      </c>
      <c r="T43" s="11">
        <v>2.34</v>
      </c>
      <c r="U43" s="11">
        <v>7.78</v>
      </c>
      <c r="V43" s="11">
        <v>5.42</v>
      </c>
      <c r="W43" s="11">
        <v>15.55</v>
      </c>
    </row>
    <row r="44" spans="1:23" ht="12.75">
      <c r="A44" s="240" t="s">
        <v>36</v>
      </c>
      <c r="B44" s="240"/>
      <c r="C44" s="240" t="s">
        <v>534</v>
      </c>
      <c r="E44" s="53" t="s">
        <v>537</v>
      </c>
      <c r="F44" s="12">
        <v>341.1</v>
      </c>
      <c r="G44" s="12">
        <v>329.6</v>
      </c>
      <c r="H44" s="12">
        <v>318.3</v>
      </c>
      <c r="I44" s="12">
        <v>307.1</v>
      </c>
      <c r="J44" s="12">
        <v>291.2</v>
      </c>
      <c r="K44" s="12">
        <v>293.1</v>
      </c>
      <c r="L44" s="12">
        <v>293.1</v>
      </c>
      <c r="M44" s="12">
        <v>278.9</v>
      </c>
      <c r="N44" s="12">
        <v>281.6</v>
      </c>
      <c r="O44" s="12">
        <v>283.6</v>
      </c>
      <c r="P44" s="12">
        <v>284.4</v>
      </c>
      <c r="Q44" s="12">
        <v>284.7</v>
      </c>
      <c r="R44" s="12">
        <v>284.7</v>
      </c>
      <c r="S44" s="12">
        <v>286.1</v>
      </c>
      <c r="T44" s="12">
        <v>286.2</v>
      </c>
      <c r="U44" s="12">
        <v>286.32</v>
      </c>
      <c r="V44" s="12">
        <v>287.397</v>
      </c>
      <c r="W44" s="12">
        <v>287.4</v>
      </c>
    </row>
    <row r="45" spans="1:23" ht="12.75">
      <c r="A45" s="240" t="s">
        <v>36</v>
      </c>
      <c r="B45" s="240"/>
      <c r="C45" s="240" t="s">
        <v>534</v>
      </c>
      <c r="E45" s="53" t="s">
        <v>538</v>
      </c>
      <c r="F45" s="53">
        <v>359.1</v>
      </c>
      <c r="G45" s="53">
        <v>340.1</v>
      </c>
      <c r="H45" s="53">
        <v>327.1</v>
      </c>
      <c r="I45" s="53">
        <v>313.3</v>
      </c>
      <c r="J45" s="12">
        <v>298.3</v>
      </c>
      <c r="K45" s="12">
        <v>298.3</v>
      </c>
      <c r="L45" s="12">
        <v>291.4</v>
      </c>
      <c r="M45" s="12">
        <v>288.8</v>
      </c>
      <c r="N45" s="12">
        <v>281</v>
      </c>
      <c r="O45" s="12">
        <v>283.1</v>
      </c>
      <c r="P45" s="12">
        <v>284</v>
      </c>
      <c r="Q45" s="12">
        <v>284.6</v>
      </c>
      <c r="R45" s="12">
        <v>284.67</v>
      </c>
      <c r="S45" s="12">
        <v>285.9</v>
      </c>
      <c r="T45" s="12">
        <v>286.2</v>
      </c>
      <c r="U45" s="12">
        <v>286.295</v>
      </c>
      <c r="V45" s="12">
        <v>287.148</v>
      </c>
      <c r="W45" s="12">
        <v>287.4</v>
      </c>
    </row>
    <row r="46" spans="1:23" ht="12.75">
      <c r="A46" s="240" t="s">
        <v>36</v>
      </c>
      <c r="B46" s="240"/>
      <c r="C46" s="240" t="s">
        <v>534</v>
      </c>
      <c r="E46" s="53" t="s">
        <v>539</v>
      </c>
      <c r="F46" s="53"/>
      <c r="G46" s="53"/>
      <c r="H46" s="53"/>
      <c r="I46" s="53"/>
      <c r="J46" s="12"/>
      <c r="K46" s="12"/>
      <c r="L46" s="12"/>
      <c r="M46" s="12"/>
      <c r="N46" s="12">
        <v>283.3</v>
      </c>
      <c r="O46" s="12">
        <v>283.2</v>
      </c>
      <c r="P46" s="12">
        <v>284.6</v>
      </c>
      <c r="Q46" s="12">
        <v>286</v>
      </c>
      <c r="R46" s="12">
        <v>286.1</v>
      </c>
      <c r="S46" s="40">
        <v>286.6</v>
      </c>
      <c r="T46" s="40">
        <v>287.3</v>
      </c>
      <c r="U46" s="44">
        <v>288.211</v>
      </c>
      <c r="V46" s="44">
        <v>288.873</v>
      </c>
      <c r="W46" s="44">
        <v>289</v>
      </c>
    </row>
    <row r="47" spans="1:18" ht="12.75">
      <c r="A47" s="240" t="s">
        <v>38</v>
      </c>
      <c r="B47" s="240"/>
      <c r="C47" s="240"/>
      <c r="R47" s="12"/>
    </row>
    <row r="48" spans="1:21" ht="37.5" customHeight="1">
      <c r="A48" s="240" t="s">
        <v>76</v>
      </c>
      <c r="B48" s="240"/>
      <c r="C48" s="240"/>
      <c r="E48" s="213" t="s">
        <v>465</v>
      </c>
      <c r="F48" s="213"/>
      <c r="G48" s="213"/>
      <c r="H48" s="213"/>
      <c r="I48" s="213"/>
      <c r="J48" s="213"/>
      <c r="K48" s="213"/>
      <c r="L48" s="213"/>
      <c r="M48" s="213"/>
      <c r="N48" s="213"/>
      <c r="O48" s="213"/>
      <c r="P48" s="213"/>
      <c r="Q48" s="213"/>
      <c r="R48" s="213"/>
      <c r="S48" s="213"/>
      <c r="T48" s="213"/>
      <c r="U48" s="213"/>
    </row>
    <row r="49" spans="1:21" ht="26.25">
      <c r="A49" s="240" t="s">
        <v>76</v>
      </c>
      <c r="B49" s="240"/>
      <c r="C49" s="240"/>
      <c r="E49" s="213" t="s">
        <v>339</v>
      </c>
      <c r="F49" s="94"/>
      <c r="G49" s="94"/>
      <c r="H49" s="94"/>
      <c r="I49" s="94"/>
      <c r="J49" s="213"/>
      <c r="K49" s="213"/>
      <c r="L49" s="213"/>
      <c r="M49" s="213"/>
      <c r="N49" s="213"/>
      <c r="O49" s="213"/>
      <c r="P49" s="213"/>
      <c r="Q49" s="213"/>
      <c r="R49" s="213"/>
      <c r="S49" s="213"/>
      <c r="T49" s="213"/>
      <c r="U49" s="213"/>
    </row>
  </sheetData>
  <sheetProtection/>
  <printOptions/>
  <pageMargins left="0.75" right="0.75" top="1" bottom="1" header="0.5" footer="0.5"/>
  <pageSetup fitToHeight="1" fitToWidth="1" horizontalDpi="600" verticalDpi="600" orientation="portrait" paperSize="8" r:id="rId1"/>
  <colBreaks count="1" manualBreakCount="1">
    <brk id="9" min="2" max="48" man="1"/>
  </colBreaks>
</worksheet>
</file>

<file path=xl/worksheets/sheet14.xml><?xml version="1.0" encoding="utf-8"?>
<worksheet xmlns="http://schemas.openxmlformats.org/spreadsheetml/2006/main" xmlns:r="http://schemas.openxmlformats.org/officeDocument/2006/relationships">
  <sheetPr>
    <pageSetUpPr fitToPage="1"/>
  </sheetPr>
  <dimension ref="A1:V11"/>
  <sheetViews>
    <sheetView zoomScaleSheetLayoutView="90" zoomScalePageLayoutView="0" workbookViewId="0" topLeftCell="A1">
      <selection activeCell="A1" sqref="A1"/>
    </sheetView>
  </sheetViews>
  <sheetFormatPr defaultColWidth="9.140625" defaultRowHeight="12.75"/>
  <cols>
    <col min="1" max="1" width="12.421875" style="240" bestFit="1" customWidth="1"/>
    <col min="2" max="2" width="12.140625" style="40" customWidth="1"/>
    <col min="3" max="3" width="11.140625" style="40" customWidth="1"/>
    <col min="4" max="4" width="27.57421875" style="40" hidden="1" customWidth="1"/>
    <col min="5" max="5" width="30.8515625" style="40" customWidth="1"/>
    <col min="6" max="12" width="11.00390625" style="40" customWidth="1"/>
    <col min="13" max="14" width="11.00390625" style="40" hidden="1" customWidth="1"/>
    <col min="15" max="15" width="0" style="40" hidden="1" customWidth="1"/>
    <col min="16"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42004</v>
      </c>
    </row>
    <row r="3" spans="1:5" ht="12.75">
      <c r="A3" s="250"/>
      <c r="B3" s="97" t="s">
        <v>144</v>
      </c>
      <c r="C3" s="98" t="s">
        <v>145</v>
      </c>
      <c r="D3" s="102" t="s">
        <v>146</v>
      </c>
      <c r="E3" s="102" t="s">
        <v>147</v>
      </c>
    </row>
    <row r="4" spans="1:5" ht="12.75">
      <c r="A4" s="240" t="s">
        <v>34</v>
      </c>
      <c r="B4" s="97" t="s">
        <v>148</v>
      </c>
      <c r="D4" s="34" t="s">
        <v>140</v>
      </c>
      <c r="E4" s="90" t="s">
        <v>332</v>
      </c>
    </row>
    <row r="5" spans="2:5" ht="12.75">
      <c r="B5" s="97" t="s">
        <v>150</v>
      </c>
      <c r="C5" s="98"/>
      <c r="D5" s="34"/>
      <c r="E5" s="34"/>
    </row>
    <row r="6" spans="1:22" s="41" customFormat="1" ht="12.75">
      <c r="A6" s="245" t="s">
        <v>35</v>
      </c>
      <c r="B6" s="113" t="s">
        <v>149</v>
      </c>
      <c r="C6" s="103"/>
      <c r="D6" s="103"/>
      <c r="E6" s="154" t="s">
        <v>277</v>
      </c>
      <c r="F6" s="155">
        <v>2000</v>
      </c>
      <c r="G6" s="155">
        <v>2001</v>
      </c>
      <c r="H6" s="155">
        <v>2002</v>
      </c>
      <c r="I6" s="155">
        <v>2003</v>
      </c>
      <c r="J6" s="155">
        <v>2004</v>
      </c>
      <c r="K6" s="155">
        <v>2005</v>
      </c>
      <c r="L6" s="155">
        <v>2006</v>
      </c>
      <c r="M6" s="155">
        <v>2007</v>
      </c>
      <c r="N6" s="155">
        <v>2008</v>
      </c>
      <c r="O6" s="155">
        <v>2009</v>
      </c>
      <c r="P6" s="155">
        <v>2010</v>
      </c>
      <c r="Q6" s="155">
        <v>2011</v>
      </c>
      <c r="R6" s="155">
        <v>2012</v>
      </c>
      <c r="S6" s="155">
        <v>2013</v>
      </c>
      <c r="T6" s="155">
        <v>2014</v>
      </c>
      <c r="U6" s="155">
        <v>2015</v>
      </c>
      <c r="V6" s="155">
        <v>2016</v>
      </c>
    </row>
    <row r="7" spans="1:14" s="33" customFormat="1" ht="12.75">
      <c r="A7" s="238" t="s">
        <v>571</v>
      </c>
      <c r="B7" s="238"/>
      <c r="C7" s="238" t="s">
        <v>530</v>
      </c>
      <c r="E7" s="33" t="s">
        <v>541</v>
      </c>
      <c r="F7" s="224"/>
      <c r="G7" s="224"/>
      <c r="H7" s="224"/>
      <c r="I7" s="224"/>
      <c r="J7" s="224"/>
      <c r="K7" s="224"/>
      <c r="L7" s="224"/>
      <c r="M7" s="224"/>
      <c r="N7" s="224"/>
    </row>
    <row r="8" spans="1:22" ht="12.75">
      <c r="A8" s="240" t="s">
        <v>36</v>
      </c>
      <c r="B8" s="240"/>
      <c r="C8" s="240" t="s">
        <v>530</v>
      </c>
      <c r="E8" s="94" t="s">
        <v>542</v>
      </c>
      <c r="F8" s="15">
        <v>3.7</v>
      </c>
      <c r="G8" s="15">
        <v>-2.4</v>
      </c>
      <c r="H8" s="15">
        <v>5.5</v>
      </c>
      <c r="I8" s="40">
        <v>3.3</v>
      </c>
      <c r="J8" s="15">
        <v>3.2</v>
      </c>
      <c r="K8" s="15">
        <v>4.3</v>
      </c>
      <c r="L8" s="15">
        <v>3.4</v>
      </c>
      <c r="M8" s="15">
        <v>4</v>
      </c>
      <c r="N8" s="15">
        <v>-0.9</v>
      </c>
      <c r="O8" s="15">
        <v>-4.8</v>
      </c>
      <c r="P8" s="15">
        <v>1.5</v>
      </c>
      <c r="Q8" s="15">
        <v>0.2</v>
      </c>
      <c r="R8" s="15">
        <v>5.5</v>
      </c>
      <c r="S8" s="15">
        <v>4.5</v>
      </c>
      <c r="T8" s="15">
        <v>1.1</v>
      </c>
      <c r="U8" s="15">
        <v>2.2</v>
      </c>
      <c r="V8" s="15">
        <v>-1.1</v>
      </c>
    </row>
    <row r="9" spans="1:22" ht="12.75">
      <c r="A9" s="240" t="s">
        <v>36</v>
      </c>
      <c r="B9" s="240"/>
      <c r="C9" s="240" t="s">
        <v>530</v>
      </c>
      <c r="E9" s="94" t="s">
        <v>543</v>
      </c>
      <c r="F9" s="15">
        <v>-3.2</v>
      </c>
      <c r="G9" s="15">
        <v>2.4</v>
      </c>
      <c r="H9" s="15">
        <v>-3.4</v>
      </c>
      <c r="I9" s="40">
        <v>-0.9</v>
      </c>
      <c r="J9" s="15">
        <v>-2</v>
      </c>
      <c r="K9" s="15">
        <v>-0.2</v>
      </c>
      <c r="L9" s="15">
        <v>-0.4</v>
      </c>
      <c r="M9" s="15">
        <v>0</v>
      </c>
      <c r="N9" s="15">
        <v>0</v>
      </c>
      <c r="O9" s="15">
        <v>0</v>
      </c>
      <c r="P9" s="15">
        <v>0</v>
      </c>
      <c r="Q9" s="15">
        <v>1.7</v>
      </c>
      <c r="R9" s="15">
        <v>3.9000000000000004</v>
      </c>
      <c r="S9" s="15">
        <v>0</v>
      </c>
      <c r="T9" s="15">
        <v>0</v>
      </c>
      <c r="U9" s="15">
        <v>0.1</v>
      </c>
      <c r="V9" s="15">
        <v>0.1</v>
      </c>
    </row>
    <row r="10" spans="1:22" ht="12.75">
      <c r="A10" s="240" t="s">
        <v>36</v>
      </c>
      <c r="B10" s="240"/>
      <c r="C10" s="240" t="s">
        <v>530</v>
      </c>
      <c r="E10" s="116" t="s">
        <v>544</v>
      </c>
      <c r="F10" s="10">
        <v>3.6</v>
      </c>
      <c r="G10" s="10">
        <v>9.1</v>
      </c>
      <c r="H10" s="10">
        <v>-4.1</v>
      </c>
      <c r="I10" s="40">
        <v>-9.2</v>
      </c>
      <c r="J10" s="10">
        <v>-4</v>
      </c>
      <c r="K10" s="10">
        <v>3.2</v>
      </c>
      <c r="L10" s="10">
        <v>0.1</v>
      </c>
      <c r="M10" s="10">
        <v>-3.1</v>
      </c>
      <c r="N10" s="10">
        <v>1</v>
      </c>
      <c r="O10" s="10">
        <v>8.94153752194824</v>
      </c>
      <c r="P10" s="10">
        <v>-4.071198182018106</v>
      </c>
      <c r="Q10" s="10">
        <v>-6.346701653405564</v>
      </c>
      <c r="R10" s="10">
        <v>-1.1360577964133167</v>
      </c>
      <c r="S10" s="10">
        <v>-5.266405440296744</v>
      </c>
      <c r="T10" s="10">
        <v>1.6411567461589907</v>
      </c>
      <c r="U10" s="10">
        <v>7.8</v>
      </c>
      <c r="V10" s="10">
        <v>-0.9577203649877335</v>
      </c>
    </row>
    <row r="11" spans="1:22" ht="12.75">
      <c r="A11" s="240" t="s">
        <v>37</v>
      </c>
      <c r="B11" s="252"/>
      <c r="C11" s="240" t="s">
        <v>530</v>
      </c>
      <c r="E11" s="112" t="s">
        <v>545</v>
      </c>
      <c r="F11" s="16">
        <v>4.1</v>
      </c>
      <c r="G11" s="16">
        <v>9.1</v>
      </c>
      <c r="H11" s="16">
        <v>-2</v>
      </c>
      <c r="I11" s="40">
        <v>-6.8</v>
      </c>
      <c r="J11" s="16">
        <v>-2.8</v>
      </c>
      <c r="K11" s="16">
        <v>7.3</v>
      </c>
      <c r="L11" s="16">
        <v>3.1</v>
      </c>
      <c r="M11" s="16">
        <v>0.9</v>
      </c>
      <c r="N11" s="16">
        <v>0.1</v>
      </c>
      <c r="O11" s="16">
        <v>4.14153752194824</v>
      </c>
      <c r="P11" s="16">
        <v>-2.5711981820181062</v>
      </c>
      <c r="Q11" s="16">
        <v>-4.4467016534055634</v>
      </c>
      <c r="R11" s="16">
        <v>8.263942203586684</v>
      </c>
      <c r="S11" s="16">
        <v>-0.7664054402967435</v>
      </c>
      <c r="T11" s="16">
        <v>2.7411567461589907</v>
      </c>
      <c r="U11" s="16">
        <v>10.137057150245669</v>
      </c>
      <c r="V11" s="16">
        <v>-1.9577203649877337</v>
      </c>
    </row>
  </sheetData>
  <sheetProtection/>
  <printOptions/>
  <pageMargins left="0.75" right="0.75" top="1" bottom="1" header="0.5" footer="0.5"/>
  <pageSetup fitToHeight="1" fitToWidth="1" horizontalDpi="600" verticalDpi="600" orientation="portrait" paperSize="8" scale="66" r:id="rId1"/>
</worksheet>
</file>

<file path=xl/worksheets/sheet15.xml><?xml version="1.0" encoding="utf-8"?>
<worksheet xmlns="http://schemas.openxmlformats.org/spreadsheetml/2006/main" xmlns:r="http://schemas.openxmlformats.org/officeDocument/2006/relationships">
  <sheetPr>
    <pageSetUpPr fitToPage="1"/>
  </sheetPr>
  <dimension ref="A1:R48"/>
  <sheetViews>
    <sheetView zoomScale="90" zoomScaleNormal="90" zoomScaleSheetLayoutView="100" zoomScalePageLayoutView="0" workbookViewId="0" topLeftCell="A1">
      <selection activeCell="A1" sqref="A1"/>
    </sheetView>
  </sheetViews>
  <sheetFormatPr defaultColWidth="9.140625" defaultRowHeight="12.75"/>
  <cols>
    <col min="1" max="1" width="11.140625" style="252" bestFit="1" customWidth="1"/>
    <col min="2" max="2" width="12.140625" style="29" bestFit="1" customWidth="1"/>
    <col min="3" max="3" width="11.28125" style="29" bestFit="1" customWidth="1"/>
    <col min="4" max="4" width="43.8515625" style="29" hidden="1" customWidth="1"/>
    <col min="5" max="5" width="47.8515625" style="29" customWidth="1"/>
    <col min="6" max="10" width="9.421875" style="29" customWidth="1"/>
    <col min="11" max="11" width="9.140625" style="29" customWidth="1"/>
    <col min="12" max="16384" width="9.140625" style="29" customWidth="1"/>
  </cols>
  <sheetData>
    <row r="1" spans="1:5" ht="17.25">
      <c r="A1" s="249">
        <v>42735</v>
      </c>
      <c r="B1" s="97" t="s">
        <v>141</v>
      </c>
      <c r="C1" s="98"/>
      <c r="D1" s="150" t="str">
        <f>Company</f>
        <v>AB Electrolux</v>
      </c>
      <c r="E1" s="150" t="str">
        <f>Company</f>
        <v>AB Electrolux</v>
      </c>
    </row>
    <row r="2" spans="1:5" ht="18.75" customHeight="1">
      <c r="A2" s="259"/>
      <c r="B2" s="97" t="s">
        <v>143</v>
      </c>
      <c r="C2" s="98"/>
      <c r="D2" s="115">
        <f>A1</f>
        <v>42735</v>
      </c>
      <c r="E2" s="151">
        <f>+'Income_statement-Y'!E2</f>
        <v>42004</v>
      </c>
    </row>
    <row r="3" spans="1:5" ht="12.75">
      <c r="A3" s="259"/>
      <c r="B3" s="97" t="s">
        <v>144</v>
      </c>
      <c r="C3" s="98" t="s">
        <v>145</v>
      </c>
      <c r="D3" s="152" t="s">
        <v>146</v>
      </c>
      <c r="E3" s="152" t="s">
        <v>147</v>
      </c>
    </row>
    <row r="4" spans="1:10" ht="12.75">
      <c r="A4" s="252" t="s">
        <v>34</v>
      </c>
      <c r="B4" s="97" t="s">
        <v>148</v>
      </c>
      <c r="C4" s="53"/>
      <c r="D4" s="62" t="s">
        <v>509</v>
      </c>
      <c r="E4" s="62" t="s">
        <v>575</v>
      </c>
      <c r="F4" s="178"/>
      <c r="G4" s="77"/>
      <c r="H4" s="77"/>
      <c r="I4" s="77"/>
      <c r="J4" s="77"/>
    </row>
    <row r="5" spans="2:10" ht="12.75">
      <c r="B5" s="97" t="s">
        <v>150</v>
      </c>
      <c r="C5" s="103" t="s">
        <v>284</v>
      </c>
      <c r="D5" s="77"/>
      <c r="E5" s="77"/>
      <c r="F5" s="77"/>
      <c r="G5" s="77"/>
      <c r="H5" s="77"/>
      <c r="I5" s="77"/>
      <c r="J5" s="77"/>
    </row>
    <row r="6" spans="1:18" s="62" customFormat="1" ht="12.75">
      <c r="A6" s="256" t="s">
        <v>35</v>
      </c>
      <c r="B6" s="113" t="s">
        <v>149</v>
      </c>
      <c r="C6" s="103" t="s">
        <v>284</v>
      </c>
      <c r="D6" s="103"/>
      <c r="E6" s="126" t="s">
        <v>585</v>
      </c>
      <c r="F6" s="126">
        <v>2004</v>
      </c>
      <c r="G6" s="126">
        <v>2005</v>
      </c>
      <c r="H6" s="126">
        <v>2006</v>
      </c>
      <c r="I6" s="126">
        <v>2007</v>
      </c>
      <c r="J6" s="87">
        <v>2008</v>
      </c>
      <c r="K6" s="87">
        <v>2009</v>
      </c>
      <c r="L6" s="87">
        <v>2010</v>
      </c>
      <c r="M6" s="87">
        <v>2011</v>
      </c>
      <c r="N6" s="87">
        <v>2012</v>
      </c>
      <c r="O6" s="87">
        <v>2013</v>
      </c>
      <c r="P6" s="87">
        <v>2014</v>
      </c>
      <c r="Q6" s="87">
        <v>2015</v>
      </c>
      <c r="R6" s="87">
        <v>2016</v>
      </c>
    </row>
    <row r="7" spans="1:16" s="80" customFormat="1" ht="12.75">
      <c r="A7" s="260" t="s">
        <v>571</v>
      </c>
      <c r="B7" s="260"/>
      <c r="C7" s="260"/>
      <c r="E7" s="80" t="s">
        <v>31</v>
      </c>
      <c r="F7" s="261"/>
      <c r="G7" s="261"/>
      <c r="H7" s="261"/>
      <c r="I7" s="261"/>
      <c r="J7" s="230"/>
      <c r="K7" s="230"/>
      <c r="L7" s="230"/>
      <c r="M7" s="230"/>
      <c r="N7" s="230"/>
      <c r="O7" s="230"/>
      <c r="P7" s="230"/>
    </row>
    <row r="8" spans="1:16" ht="12.75">
      <c r="A8" s="252" t="s">
        <v>36</v>
      </c>
      <c r="B8" s="252"/>
      <c r="C8" s="252"/>
      <c r="D8" s="53"/>
      <c r="E8" s="29" t="s">
        <v>309</v>
      </c>
      <c r="F8" s="77"/>
      <c r="G8" s="37">
        <v>-419</v>
      </c>
      <c r="H8" s="140"/>
      <c r="I8" s="140"/>
      <c r="J8" s="140"/>
      <c r="K8" s="140"/>
      <c r="L8" s="140"/>
      <c r="M8" s="140"/>
      <c r="N8" s="140"/>
      <c r="O8" s="140"/>
      <c r="P8" s="140"/>
    </row>
    <row r="9" spans="1:16" ht="12.75">
      <c r="A9" s="252" t="s">
        <v>36</v>
      </c>
      <c r="B9" s="252"/>
      <c r="C9" s="252"/>
      <c r="D9" s="53"/>
      <c r="E9" s="29" t="s">
        <v>310</v>
      </c>
      <c r="F9" s="77"/>
      <c r="G9" s="77"/>
      <c r="H9" s="29">
        <v>61</v>
      </c>
      <c r="I9" s="77"/>
      <c r="J9" s="105"/>
      <c r="K9" s="105"/>
      <c r="L9" s="105"/>
      <c r="M9" s="105"/>
      <c r="N9" s="105"/>
      <c r="O9" s="105"/>
      <c r="P9" s="105"/>
    </row>
    <row r="10" spans="1:8" ht="12.75">
      <c r="A10" s="252" t="s">
        <v>36</v>
      </c>
      <c r="B10" s="252"/>
      <c r="C10" s="252"/>
      <c r="D10" s="53"/>
      <c r="E10" s="29" t="s">
        <v>311</v>
      </c>
      <c r="F10" s="140"/>
      <c r="H10" s="29">
        <v>-173</v>
      </c>
    </row>
    <row r="11" spans="1:18" ht="12.75">
      <c r="A11" s="252" t="s">
        <v>37</v>
      </c>
      <c r="B11" s="252"/>
      <c r="C11" s="252"/>
      <c r="D11" s="53"/>
      <c r="E11" s="77" t="s">
        <v>334</v>
      </c>
      <c r="F11" s="140">
        <f aca="true" t="shared" si="0" ref="F11:L11">SUM(F8:F10)</f>
        <v>0</v>
      </c>
      <c r="G11" s="140">
        <f t="shared" si="0"/>
        <v>-419</v>
      </c>
      <c r="H11" s="140">
        <f t="shared" si="0"/>
        <v>-112</v>
      </c>
      <c r="I11" s="140">
        <f t="shared" si="0"/>
        <v>0</v>
      </c>
      <c r="J11" s="140">
        <f t="shared" si="0"/>
        <v>0</v>
      </c>
      <c r="K11" s="140">
        <f t="shared" si="0"/>
        <v>0</v>
      </c>
      <c r="L11" s="140">
        <f t="shared" si="0"/>
        <v>0</v>
      </c>
      <c r="M11" s="140">
        <f aca="true" t="shared" si="1" ref="M11:R11">SUM(M8:M10)</f>
        <v>0</v>
      </c>
      <c r="N11" s="140">
        <f t="shared" si="1"/>
        <v>0</v>
      </c>
      <c r="O11" s="140">
        <f t="shared" si="1"/>
        <v>0</v>
      </c>
      <c r="P11" s="140">
        <f t="shared" si="1"/>
        <v>0</v>
      </c>
      <c r="Q11" s="140">
        <f t="shared" si="1"/>
        <v>0</v>
      </c>
      <c r="R11" s="140">
        <f t="shared" si="1"/>
        <v>0</v>
      </c>
    </row>
    <row r="12" spans="1:16" ht="12.75">
      <c r="A12" s="252" t="s">
        <v>36</v>
      </c>
      <c r="B12" s="252"/>
      <c r="C12" s="252"/>
      <c r="D12" s="53"/>
      <c r="E12" s="29" t="s">
        <v>312</v>
      </c>
      <c r="F12" s="37">
        <v>-979</v>
      </c>
      <c r="G12" s="37"/>
      <c r="H12" s="37"/>
      <c r="I12" s="37"/>
      <c r="J12" s="37"/>
      <c r="K12" s="37"/>
      <c r="L12" s="37"/>
      <c r="M12" s="37"/>
      <c r="N12" s="37"/>
      <c r="O12" s="37"/>
      <c r="P12" s="37"/>
    </row>
    <row r="13" spans="1:16" ht="12.75">
      <c r="A13" s="252" t="s">
        <v>36</v>
      </c>
      <c r="B13" s="252"/>
      <c r="C13" s="252"/>
      <c r="D13" s="53"/>
      <c r="E13" s="29" t="s">
        <v>313</v>
      </c>
      <c r="F13" s="37">
        <v>-187</v>
      </c>
      <c r="G13" s="37"/>
      <c r="H13" s="37"/>
      <c r="I13" s="37"/>
      <c r="J13" s="37"/>
      <c r="K13" s="37"/>
      <c r="L13" s="37"/>
      <c r="M13" s="37"/>
      <c r="N13" s="37"/>
      <c r="O13" s="37"/>
      <c r="P13" s="37"/>
    </row>
    <row r="14" spans="1:16" ht="12.75">
      <c r="A14" s="252" t="s">
        <v>36</v>
      </c>
      <c r="B14" s="252"/>
      <c r="C14" s="252"/>
      <c r="D14" s="53"/>
      <c r="E14" s="29" t="s">
        <v>314</v>
      </c>
      <c r="F14" s="37">
        <v>-153</v>
      </c>
      <c r="G14" s="37"/>
      <c r="H14" s="37"/>
      <c r="I14" s="37"/>
      <c r="J14" s="37"/>
      <c r="K14" s="37"/>
      <c r="L14" s="37"/>
      <c r="M14" s="37"/>
      <c r="N14" s="37"/>
      <c r="O14" s="37"/>
      <c r="P14" s="37"/>
    </row>
    <row r="15" spans="1:16" ht="12.75">
      <c r="A15" s="252" t="s">
        <v>36</v>
      </c>
      <c r="B15" s="252"/>
      <c r="C15" s="252"/>
      <c r="D15" s="53"/>
      <c r="E15" s="29" t="s">
        <v>315</v>
      </c>
      <c r="F15" s="37">
        <v>-103</v>
      </c>
      <c r="G15" s="37"/>
      <c r="H15" s="37"/>
      <c r="I15" s="37"/>
      <c r="J15" s="37"/>
      <c r="K15" s="37"/>
      <c r="L15" s="37"/>
      <c r="M15" s="37"/>
      <c r="N15" s="37"/>
      <c r="O15" s="37"/>
      <c r="P15" s="37"/>
    </row>
    <row r="16" spans="1:16" ht="12.75">
      <c r="A16" s="252" t="s">
        <v>36</v>
      </c>
      <c r="B16" s="252"/>
      <c r="C16" s="252"/>
      <c r="D16" s="53"/>
      <c r="E16" s="29" t="s">
        <v>316</v>
      </c>
      <c r="F16" s="37">
        <v>-289</v>
      </c>
      <c r="G16" s="37"/>
      <c r="H16" s="37"/>
      <c r="I16" s="37"/>
      <c r="J16" s="37"/>
      <c r="K16" s="37"/>
      <c r="L16" s="37"/>
      <c r="M16" s="37"/>
      <c r="N16" s="37"/>
      <c r="O16" s="37"/>
      <c r="P16" s="37"/>
    </row>
    <row r="17" spans="1:16" ht="12.75">
      <c r="A17" s="252" t="s">
        <v>36</v>
      </c>
      <c r="B17" s="252"/>
      <c r="C17" s="252"/>
      <c r="D17" s="53"/>
      <c r="E17" s="29" t="s">
        <v>317</v>
      </c>
      <c r="F17" s="37">
        <v>-49</v>
      </c>
      <c r="G17" s="37"/>
      <c r="H17" s="37"/>
      <c r="I17" s="37"/>
      <c r="J17" s="37"/>
      <c r="K17" s="37"/>
      <c r="L17" s="37"/>
      <c r="M17" s="37"/>
      <c r="N17" s="37"/>
      <c r="O17" s="37"/>
      <c r="P17" s="37"/>
    </row>
    <row r="18" spans="1:16" ht="12.75">
      <c r="A18" s="252" t="s">
        <v>36</v>
      </c>
      <c r="B18" s="252"/>
      <c r="C18" s="252"/>
      <c r="D18" s="53"/>
      <c r="E18" s="29" t="s">
        <v>318</v>
      </c>
      <c r="F18" s="37"/>
      <c r="G18" s="37">
        <v>-535</v>
      </c>
      <c r="H18" s="37"/>
      <c r="I18" s="37"/>
      <c r="J18" s="37"/>
      <c r="K18" s="37"/>
      <c r="L18" s="37"/>
      <c r="M18" s="37"/>
      <c r="N18" s="37"/>
      <c r="O18" s="37"/>
      <c r="P18" s="37"/>
    </row>
    <row r="19" spans="1:16" ht="12.75">
      <c r="A19" s="252" t="s">
        <v>36</v>
      </c>
      <c r="B19" s="252"/>
      <c r="C19" s="252"/>
      <c r="D19" s="53"/>
      <c r="E19" s="29" t="s">
        <v>319</v>
      </c>
      <c r="F19" s="37"/>
      <c r="G19" s="37">
        <v>-2098</v>
      </c>
      <c r="H19" s="37">
        <v>-145</v>
      </c>
      <c r="I19" s="37"/>
      <c r="J19" s="37"/>
      <c r="K19" s="37"/>
      <c r="L19" s="37"/>
      <c r="M19" s="37"/>
      <c r="N19" s="37"/>
      <c r="O19" s="37"/>
      <c r="P19" s="37"/>
    </row>
    <row r="20" spans="1:16" ht="12.75">
      <c r="A20" s="252" t="s">
        <v>36</v>
      </c>
      <c r="B20" s="252"/>
      <c r="C20" s="252"/>
      <c r="D20" s="53"/>
      <c r="E20" s="29" t="s">
        <v>320</v>
      </c>
      <c r="F20" s="37"/>
      <c r="G20" s="37"/>
      <c r="H20" s="37">
        <v>-43</v>
      </c>
      <c r="I20" s="37"/>
      <c r="J20" s="37"/>
      <c r="K20" s="37"/>
      <c r="L20" s="37"/>
      <c r="M20" s="37"/>
      <c r="N20" s="37"/>
      <c r="O20" s="37"/>
      <c r="P20" s="37"/>
    </row>
    <row r="21" spans="1:16" ht="12.75">
      <c r="A21" s="252" t="s">
        <v>36</v>
      </c>
      <c r="B21" s="252"/>
      <c r="C21" s="252"/>
      <c r="D21" s="53"/>
      <c r="E21" s="29" t="s">
        <v>321</v>
      </c>
      <c r="F21" s="37"/>
      <c r="G21" s="37"/>
      <c r="H21" s="37">
        <v>-302</v>
      </c>
      <c r="I21" s="37"/>
      <c r="J21" s="37"/>
      <c r="K21" s="37"/>
      <c r="L21" s="37"/>
      <c r="M21" s="37"/>
      <c r="N21" s="37"/>
      <c r="O21" s="37"/>
      <c r="P21" s="37"/>
    </row>
    <row r="22" spans="1:16" ht="12.75">
      <c r="A22" s="252" t="s">
        <v>36</v>
      </c>
      <c r="B22" s="252"/>
      <c r="C22" s="252"/>
      <c r="D22" s="53"/>
      <c r="E22" s="29" t="s">
        <v>120</v>
      </c>
      <c r="F22" s="37"/>
      <c r="G22" s="37"/>
      <c r="H22" s="37"/>
      <c r="I22" s="37">
        <v>-317</v>
      </c>
      <c r="J22" s="37"/>
      <c r="K22" s="37"/>
      <c r="L22" s="37"/>
      <c r="M22" s="37"/>
      <c r="N22" s="37"/>
      <c r="O22" s="37"/>
      <c r="P22" s="37"/>
    </row>
    <row r="23" spans="1:16" ht="12.75">
      <c r="A23" s="252" t="s">
        <v>36</v>
      </c>
      <c r="B23" s="252"/>
      <c r="C23" s="252"/>
      <c r="D23" s="53"/>
      <c r="E23" s="29" t="s">
        <v>121</v>
      </c>
      <c r="F23" s="37"/>
      <c r="G23" s="37"/>
      <c r="H23" s="37"/>
      <c r="I23" s="37">
        <v>-45</v>
      </c>
      <c r="J23" s="37"/>
      <c r="K23" s="37"/>
      <c r="L23" s="37"/>
      <c r="M23" s="37"/>
      <c r="N23" s="37"/>
      <c r="O23" s="37"/>
      <c r="P23" s="37"/>
    </row>
    <row r="24" spans="1:16" ht="12.75">
      <c r="A24" s="252" t="s">
        <v>36</v>
      </c>
      <c r="B24" s="252"/>
      <c r="C24" s="252"/>
      <c r="D24" s="53"/>
      <c r="E24" s="29" t="s">
        <v>118</v>
      </c>
      <c r="F24" s="37"/>
      <c r="G24" s="37"/>
      <c r="H24" s="37"/>
      <c r="I24" s="37"/>
      <c r="J24" s="37">
        <v>-487</v>
      </c>
      <c r="K24" s="37"/>
      <c r="L24" s="37"/>
      <c r="M24" s="37"/>
      <c r="N24" s="37"/>
      <c r="O24" s="37"/>
      <c r="P24" s="37"/>
    </row>
    <row r="25" spans="1:16" ht="12.75">
      <c r="A25" s="252" t="s">
        <v>36</v>
      </c>
      <c r="B25" s="252"/>
      <c r="C25" s="252"/>
      <c r="D25" s="53"/>
      <c r="E25" s="160" t="s">
        <v>115</v>
      </c>
      <c r="F25" s="37"/>
      <c r="G25" s="37"/>
      <c r="H25" s="37"/>
      <c r="I25" s="37"/>
      <c r="J25" s="37"/>
      <c r="K25" s="37">
        <v>-162</v>
      </c>
      <c r="L25" s="37"/>
      <c r="M25" s="37"/>
      <c r="N25" s="37"/>
      <c r="O25" s="37"/>
      <c r="P25" s="37"/>
    </row>
    <row r="26" spans="1:16" ht="12.75">
      <c r="A26" s="252" t="s">
        <v>36</v>
      </c>
      <c r="B26" s="252"/>
      <c r="C26" s="252"/>
      <c r="D26" s="53"/>
      <c r="E26" s="160" t="s">
        <v>116</v>
      </c>
      <c r="F26" s="37"/>
      <c r="G26" s="37"/>
      <c r="H26" s="37"/>
      <c r="I26" s="37"/>
      <c r="J26" s="37"/>
      <c r="K26" s="37">
        <v>-132</v>
      </c>
      <c r="L26" s="37"/>
      <c r="M26" s="37"/>
      <c r="N26" s="37"/>
      <c r="O26" s="37"/>
      <c r="P26" s="37"/>
    </row>
    <row r="27" spans="1:16" ht="12.75">
      <c r="A27" s="252" t="s">
        <v>36</v>
      </c>
      <c r="B27" s="252"/>
      <c r="C27" s="252"/>
      <c r="D27" s="53"/>
      <c r="E27" s="160" t="s">
        <v>117</v>
      </c>
      <c r="F27" s="37"/>
      <c r="G27" s="37"/>
      <c r="H27" s="37"/>
      <c r="I27" s="37"/>
      <c r="J27" s="37"/>
      <c r="K27" s="37">
        <v>-105</v>
      </c>
      <c r="L27" s="37"/>
      <c r="M27" s="37"/>
      <c r="N27" s="37"/>
      <c r="O27" s="37"/>
      <c r="P27" s="37"/>
    </row>
    <row r="28" spans="1:16" ht="12.75">
      <c r="A28" s="252" t="s">
        <v>36</v>
      </c>
      <c r="B28" s="252"/>
      <c r="C28" s="252"/>
      <c r="D28" s="53"/>
      <c r="E28" s="160" t="s">
        <v>361</v>
      </c>
      <c r="F28" s="37"/>
      <c r="G28" s="37"/>
      <c r="H28" s="37"/>
      <c r="I28" s="37"/>
      <c r="J28" s="37"/>
      <c r="K28" s="37">
        <v>-440</v>
      </c>
      <c r="L28" s="37"/>
      <c r="M28" s="37"/>
      <c r="N28" s="37"/>
      <c r="O28" s="37"/>
      <c r="P28" s="37"/>
    </row>
    <row r="29" spans="1:16" ht="12.75">
      <c r="A29" s="252" t="s">
        <v>36</v>
      </c>
      <c r="B29" s="252"/>
      <c r="C29" s="252"/>
      <c r="D29" s="53"/>
      <c r="E29" s="160" t="s">
        <v>357</v>
      </c>
      <c r="F29" s="37"/>
      <c r="G29" s="37"/>
      <c r="H29" s="37"/>
      <c r="I29" s="37"/>
      <c r="J29" s="37"/>
      <c r="K29" s="37">
        <v>-560</v>
      </c>
      <c r="L29" s="37"/>
      <c r="M29" s="37"/>
      <c r="N29" s="37"/>
      <c r="O29" s="37"/>
      <c r="P29" s="37"/>
    </row>
    <row r="30" spans="1:16" ht="12.75">
      <c r="A30" s="252" t="s">
        <v>36</v>
      </c>
      <c r="B30" s="252"/>
      <c r="C30" s="252"/>
      <c r="D30" s="53"/>
      <c r="E30" s="160" t="s">
        <v>358</v>
      </c>
      <c r="F30" s="37"/>
      <c r="G30" s="37"/>
      <c r="H30" s="37"/>
      <c r="I30" s="37"/>
      <c r="J30" s="37"/>
      <c r="K30" s="37">
        <v>-218</v>
      </c>
      <c r="L30" s="37"/>
      <c r="M30" s="37"/>
      <c r="N30" s="37"/>
      <c r="O30" s="37"/>
      <c r="P30" s="37"/>
    </row>
    <row r="31" spans="1:16" ht="12.75">
      <c r="A31" s="252" t="s">
        <v>36</v>
      </c>
      <c r="B31" s="252"/>
      <c r="C31" s="252"/>
      <c r="D31" s="53"/>
      <c r="E31" s="160" t="s">
        <v>363</v>
      </c>
      <c r="F31" s="37"/>
      <c r="G31" s="37"/>
      <c r="H31" s="37"/>
      <c r="I31" s="37"/>
      <c r="J31" s="37"/>
      <c r="K31" s="37"/>
      <c r="L31" s="37">
        <v>-95</v>
      </c>
      <c r="M31" s="37"/>
      <c r="N31" s="37"/>
      <c r="O31" s="37"/>
      <c r="P31" s="37"/>
    </row>
    <row r="32" spans="1:16" ht="12.75">
      <c r="A32" s="252" t="s">
        <v>36</v>
      </c>
      <c r="B32" s="252"/>
      <c r="C32" s="252"/>
      <c r="D32" s="53"/>
      <c r="E32" s="160" t="s">
        <v>369</v>
      </c>
      <c r="F32" s="37"/>
      <c r="G32" s="37"/>
      <c r="H32" s="37"/>
      <c r="I32" s="37"/>
      <c r="J32" s="37"/>
      <c r="K32" s="37"/>
      <c r="L32" s="37">
        <v>-136</v>
      </c>
      <c r="M32" s="37"/>
      <c r="N32" s="37"/>
      <c r="O32" s="37"/>
      <c r="P32" s="37"/>
    </row>
    <row r="33" spans="1:16" ht="12.75">
      <c r="A33" s="252" t="s">
        <v>36</v>
      </c>
      <c r="B33" s="252"/>
      <c r="C33" s="252"/>
      <c r="D33" s="53"/>
      <c r="E33" s="160" t="s">
        <v>368</v>
      </c>
      <c r="F33" s="37"/>
      <c r="G33" s="37"/>
      <c r="H33" s="37"/>
      <c r="I33" s="37"/>
      <c r="J33" s="37"/>
      <c r="K33" s="37"/>
      <c r="L33" s="37">
        <v>-71</v>
      </c>
      <c r="M33" s="37"/>
      <c r="N33" s="37"/>
      <c r="O33" s="37"/>
      <c r="P33" s="37"/>
    </row>
    <row r="34" spans="1:16" ht="12.75">
      <c r="A34" s="252" t="s">
        <v>36</v>
      </c>
      <c r="B34" s="252"/>
      <c r="C34" s="252"/>
      <c r="D34" s="53"/>
      <c r="E34" s="160" t="s">
        <v>374</v>
      </c>
      <c r="F34" s="37"/>
      <c r="G34" s="37"/>
      <c r="H34" s="37"/>
      <c r="I34" s="37"/>
      <c r="J34" s="37"/>
      <c r="K34" s="37"/>
      <c r="L34" s="37">
        <v>-356</v>
      </c>
      <c r="M34" s="37">
        <v>-54</v>
      </c>
      <c r="N34" s="37"/>
      <c r="O34" s="37"/>
      <c r="P34" s="37"/>
    </row>
    <row r="35" spans="1:16" ht="12.75">
      <c r="A35" s="252" t="s">
        <v>36</v>
      </c>
      <c r="B35" s="252"/>
      <c r="C35" s="252"/>
      <c r="D35" s="53"/>
      <c r="E35" s="96" t="s">
        <v>373</v>
      </c>
      <c r="F35" s="37"/>
      <c r="G35" s="37"/>
      <c r="H35" s="37"/>
      <c r="I35" s="37"/>
      <c r="J35" s="37"/>
      <c r="K35" s="37"/>
      <c r="L35" s="37">
        <v>-426</v>
      </c>
      <c r="M35" s="37"/>
      <c r="N35" s="37">
        <v>-105</v>
      </c>
      <c r="O35" s="37"/>
      <c r="P35" s="37"/>
    </row>
    <row r="36" spans="1:16" ht="12.75">
      <c r="A36" s="252" t="s">
        <v>36</v>
      </c>
      <c r="B36" s="252"/>
      <c r="C36" s="252"/>
      <c r="D36" s="53"/>
      <c r="E36" s="160" t="s">
        <v>401</v>
      </c>
      <c r="F36" s="37"/>
      <c r="G36" s="37"/>
      <c r="H36" s="37"/>
      <c r="I36" s="37"/>
      <c r="J36" s="37"/>
      <c r="K36" s="37"/>
      <c r="L36" s="37"/>
      <c r="M36" s="37">
        <v>-104</v>
      </c>
      <c r="N36" s="37"/>
      <c r="O36" s="37"/>
      <c r="P36" s="37"/>
    </row>
    <row r="37" spans="1:16" ht="12.75">
      <c r="A37" s="252" t="s">
        <v>36</v>
      </c>
      <c r="B37" s="252"/>
      <c r="C37" s="252"/>
      <c r="D37" s="53"/>
      <c r="E37" s="40" t="s">
        <v>437</v>
      </c>
      <c r="F37" s="37"/>
      <c r="G37" s="37"/>
      <c r="H37" s="37"/>
      <c r="I37" s="37"/>
      <c r="J37" s="37"/>
      <c r="K37" s="37"/>
      <c r="L37" s="37"/>
      <c r="M37" s="37"/>
      <c r="N37" s="37">
        <v>-927</v>
      </c>
      <c r="O37" s="37">
        <v>-594</v>
      </c>
      <c r="P37" s="37">
        <v>-1173</v>
      </c>
    </row>
    <row r="38" spans="1:16" ht="12.75">
      <c r="A38" s="252" t="s">
        <v>36</v>
      </c>
      <c r="B38" s="252"/>
      <c r="C38" s="252"/>
      <c r="D38" s="53"/>
      <c r="E38" s="40" t="s">
        <v>438</v>
      </c>
      <c r="F38" s="37"/>
      <c r="G38" s="37"/>
      <c r="H38" s="37"/>
      <c r="I38" s="37"/>
      <c r="J38" s="37"/>
      <c r="K38" s="37"/>
      <c r="L38" s="37"/>
      <c r="M38" s="37"/>
      <c r="N38" s="37"/>
      <c r="O38" s="37">
        <v>-975</v>
      </c>
      <c r="P38" s="37">
        <v>-199</v>
      </c>
    </row>
    <row r="39" spans="1:16" ht="12.75">
      <c r="A39" s="252" t="s">
        <v>36</v>
      </c>
      <c r="B39" s="252"/>
      <c r="C39" s="252"/>
      <c r="D39" s="53"/>
      <c r="E39" s="40" t="s">
        <v>434</v>
      </c>
      <c r="F39" s="37"/>
      <c r="G39" s="37"/>
      <c r="H39" s="37"/>
      <c r="I39" s="37"/>
      <c r="J39" s="37"/>
      <c r="K39" s="37"/>
      <c r="L39" s="37"/>
      <c r="M39" s="37"/>
      <c r="N39" s="37"/>
      <c r="O39" s="37">
        <v>-906</v>
      </c>
      <c r="P39" s="37"/>
    </row>
    <row r="40" spans="1:16" ht="12.75">
      <c r="A40" s="252" t="s">
        <v>36</v>
      </c>
      <c r="B40" s="252"/>
      <c r="C40" s="252"/>
      <c r="D40" s="53"/>
      <c r="E40" s="40" t="s">
        <v>322</v>
      </c>
      <c r="F40" s="37">
        <v>39</v>
      </c>
      <c r="G40" s="37">
        <v>32</v>
      </c>
      <c r="H40" s="37">
        <v>60</v>
      </c>
      <c r="I40" s="37"/>
      <c r="J40" s="37">
        <v>132</v>
      </c>
      <c r="K40" s="37">
        <v>56</v>
      </c>
      <c r="L40" s="37">
        <v>20</v>
      </c>
      <c r="M40" s="37">
        <v>20</v>
      </c>
      <c r="N40" s="37">
        <v>0</v>
      </c>
      <c r="O40" s="37">
        <v>0</v>
      </c>
      <c r="P40" s="37">
        <v>173</v>
      </c>
    </row>
    <row r="41" spans="1:18" ht="12.75">
      <c r="A41" s="252" t="s">
        <v>37</v>
      </c>
      <c r="B41" s="252"/>
      <c r="C41" s="252"/>
      <c r="D41" s="53"/>
      <c r="E41" s="77" t="s">
        <v>335</v>
      </c>
      <c r="F41" s="140">
        <f aca="true" t="shared" si="2" ref="F41:N41">SUM(F12:F40)</f>
        <v>-1721</v>
      </c>
      <c r="G41" s="140">
        <f t="shared" si="2"/>
        <v>-2601</v>
      </c>
      <c r="H41" s="140">
        <f t="shared" si="2"/>
        <v>-430</v>
      </c>
      <c r="I41" s="140">
        <f t="shared" si="2"/>
        <v>-362</v>
      </c>
      <c r="J41" s="140">
        <f t="shared" si="2"/>
        <v>-355</v>
      </c>
      <c r="K41" s="140">
        <f t="shared" si="2"/>
        <v>-1561</v>
      </c>
      <c r="L41" s="140">
        <f t="shared" si="2"/>
        <v>-1064</v>
      </c>
      <c r="M41" s="140">
        <f t="shared" si="2"/>
        <v>-138</v>
      </c>
      <c r="N41" s="140">
        <f t="shared" si="2"/>
        <v>-1032</v>
      </c>
      <c r="O41" s="140">
        <v>-2475</v>
      </c>
      <c r="P41" s="140">
        <v>-1199</v>
      </c>
      <c r="Q41" s="62">
        <v>0</v>
      </c>
      <c r="R41" s="62">
        <v>0</v>
      </c>
    </row>
    <row r="42" spans="1:16" ht="12.75">
      <c r="A42" s="252" t="s">
        <v>36</v>
      </c>
      <c r="B42" s="252"/>
      <c r="C42" s="252"/>
      <c r="D42" s="53"/>
      <c r="E42" s="29" t="s">
        <v>323</v>
      </c>
      <c r="F42" s="140">
        <v>-239</v>
      </c>
      <c r="G42" s="140"/>
      <c r="H42" s="140"/>
      <c r="I42" s="140"/>
      <c r="J42" s="140"/>
      <c r="K42" s="140"/>
      <c r="L42" s="140"/>
      <c r="M42" s="140"/>
      <c r="N42" s="140"/>
      <c r="O42" s="140"/>
      <c r="P42" s="140"/>
    </row>
    <row r="43" spans="1:18" ht="12.75">
      <c r="A43" s="252" t="s">
        <v>37</v>
      </c>
      <c r="B43" s="252"/>
      <c r="C43" s="252"/>
      <c r="D43" s="53"/>
      <c r="E43" s="77" t="s">
        <v>325</v>
      </c>
      <c r="F43" s="140">
        <f>+F11+F41+F42</f>
        <v>-1960</v>
      </c>
      <c r="G43" s="140">
        <f aca="true" t="shared" si="3" ref="G43:N43">+G11+G41+G42</f>
        <v>-3020</v>
      </c>
      <c r="H43" s="140">
        <f t="shared" si="3"/>
        <v>-542</v>
      </c>
      <c r="I43" s="140">
        <f t="shared" si="3"/>
        <v>-362</v>
      </c>
      <c r="J43" s="140">
        <f t="shared" si="3"/>
        <v>-355</v>
      </c>
      <c r="K43" s="140">
        <f t="shared" si="3"/>
        <v>-1561</v>
      </c>
      <c r="L43" s="140">
        <f t="shared" si="3"/>
        <v>-1064</v>
      </c>
      <c r="M43" s="140">
        <f t="shared" si="3"/>
        <v>-138</v>
      </c>
      <c r="N43" s="140">
        <f t="shared" si="3"/>
        <v>-1032</v>
      </c>
      <c r="O43" s="140">
        <v>-2475</v>
      </c>
      <c r="P43" s="140">
        <v>-1199</v>
      </c>
      <c r="Q43" s="62">
        <v>0</v>
      </c>
      <c r="R43" s="62">
        <v>0</v>
      </c>
    </row>
    <row r="44" spans="1:18" ht="12.75">
      <c r="A44" s="252" t="s">
        <v>36</v>
      </c>
      <c r="B44" s="252"/>
      <c r="C44" s="252"/>
      <c r="D44" s="53"/>
      <c r="E44" s="53" t="s">
        <v>513</v>
      </c>
      <c r="F44" s="48"/>
      <c r="G44" s="48"/>
      <c r="H44" s="48"/>
      <c r="I44" s="48"/>
      <c r="J44" s="48"/>
      <c r="K44" s="48"/>
      <c r="L44" s="48"/>
      <c r="M44" s="48"/>
      <c r="N44" s="48"/>
      <c r="O44" s="48"/>
      <c r="P44" s="48">
        <v>-149</v>
      </c>
      <c r="Q44" s="37">
        <v>-2059</v>
      </c>
      <c r="R44" s="37"/>
    </row>
    <row r="45" spans="1:18" ht="12.75">
      <c r="A45" s="252" t="s">
        <v>36</v>
      </c>
      <c r="B45" s="252"/>
      <c r="C45" s="252"/>
      <c r="D45" s="53"/>
      <c r="E45" s="53" t="s">
        <v>514</v>
      </c>
      <c r="F45" s="48"/>
      <c r="G45" s="48"/>
      <c r="H45" s="48"/>
      <c r="I45" s="48"/>
      <c r="J45" s="48"/>
      <c r="K45" s="48"/>
      <c r="L45" s="48"/>
      <c r="M45" s="48"/>
      <c r="N45" s="48"/>
      <c r="O45" s="48"/>
      <c r="P45" s="48"/>
      <c r="Q45" s="48">
        <v>-190</v>
      </c>
      <c r="R45" s="48"/>
    </row>
    <row r="46" spans="1:18" ht="12.75">
      <c r="A46" s="252" t="s">
        <v>37</v>
      </c>
      <c r="B46" s="252"/>
      <c r="C46" s="252"/>
      <c r="D46" s="53"/>
      <c r="E46" s="62" t="s">
        <v>593</v>
      </c>
      <c r="F46" s="140">
        <v>-1960</v>
      </c>
      <c r="G46" s="140">
        <v>-3020</v>
      </c>
      <c r="H46" s="140">
        <v>-542</v>
      </c>
      <c r="I46" s="140">
        <v>-362</v>
      </c>
      <c r="J46" s="140">
        <v>-355</v>
      </c>
      <c r="K46" s="140">
        <v>-1561</v>
      </c>
      <c r="L46" s="140">
        <v>-1064</v>
      </c>
      <c r="M46" s="140">
        <v>-138</v>
      </c>
      <c r="N46" s="140">
        <v>-1032</v>
      </c>
      <c r="O46" s="140">
        <v>-2475</v>
      </c>
      <c r="P46" s="63">
        <v>-1348</v>
      </c>
      <c r="Q46" s="63">
        <v>-2249</v>
      </c>
      <c r="R46" s="63">
        <v>0</v>
      </c>
    </row>
    <row r="47" spans="1:17" ht="12.75">
      <c r="A47" s="252" t="s">
        <v>38</v>
      </c>
      <c r="B47" s="252"/>
      <c r="C47" s="252"/>
      <c r="D47" s="53"/>
      <c r="E47" s="62"/>
      <c r="F47" s="140"/>
      <c r="G47" s="140"/>
      <c r="H47" s="140"/>
      <c r="I47" s="140"/>
      <c r="J47" s="140"/>
      <c r="K47" s="140"/>
      <c r="L47" s="140"/>
      <c r="M47" s="140"/>
      <c r="N47" s="140"/>
      <c r="O47" s="140"/>
      <c r="P47" s="63"/>
      <c r="Q47" s="63"/>
    </row>
    <row r="48" spans="1:5" ht="118.5">
      <c r="A48" s="252" t="s">
        <v>76</v>
      </c>
      <c r="B48" s="252"/>
      <c r="C48" s="252"/>
      <c r="E48" s="94" t="s">
        <v>592</v>
      </c>
    </row>
  </sheetData>
  <sheetProtection/>
  <printOptions/>
  <pageMargins left="0.75" right="0.75" top="1" bottom="1" header="0.5" footer="0.5"/>
  <pageSetup fitToHeight="1" fitToWidth="1" horizontalDpi="600" verticalDpi="600" orientation="portrait" paperSize="9" scale="38" r:id="rId1"/>
</worksheet>
</file>

<file path=xl/worksheets/sheet16.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40">
      <selection activeCell="A1" sqref="A1"/>
    </sheetView>
  </sheetViews>
  <sheetFormatPr defaultColWidth="15.00390625" defaultRowHeight="12.75"/>
  <cols>
    <col min="1" max="1" width="15.00390625" style="252" customWidth="1"/>
    <col min="2" max="2" width="9.28125" style="60" customWidth="1"/>
    <col min="3" max="3" width="10.8515625" style="60" customWidth="1"/>
    <col min="4" max="4" width="15.00390625" style="60" hidden="1" customWidth="1"/>
    <col min="5" max="5" width="29.421875" style="60" customWidth="1"/>
    <col min="6" max="14" width="10.8515625" style="60" customWidth="1"/>
    <col min="15" max="15" width="11.28125" style="60" customWidth="1"/>
    <col min="16" max="16384" width="15.00390625" style="60" customWidth="1"/>
  </cols>
  <sheetData>
    <row r="1" spans="1:5" ht="21">
      <c r="A1" s="249">
        <v>42735</v>
      </c>
      <c r="B1" s="97" t="s">
        <v>141</v>
      </c>
      <c r="C1" s="98"/>
      <c r="D1" s="99" t="str">
        <f>Company</f>
        <v>AB Electrolux</v>
      </c>
      <c r="E1" s="99" t="str">
        <f>Company</f>
        <v>AB Electrolux</v>
      </c>
    </row>
    <row r="2" spans="1:5" ht="12.75">
      <c r="A2" s="250"/>
      <c r="B2" s="97" t="s">
        <v>143</v>
      </c>
      <c r="C2" s="98"/>
      <c r="D2" s="100">
        <f>A1</f>
        <v>42735</v>
      </c>
      <c r="E2" s="101">
        <f>A1</f>
        <v>42735</v>
      </c>
    </row>
    <row r="3" spans="1:5" ht="21">
      <c r="A3" s="250"/>
      <c r="B3" s="97" t="s">
        <v>144</v>
      </c>
      <c r="C3" s="98" t="s">
        <v>145</v>
      </c>
      <c r="D3" s="102" t="s">
        <v>146</v>
      </c>
      <c r="E3" s="102" t="s">
        <v>147</v>
      </c>
    </row>
    <row r="4" spans="1:5" ht="12.75">
      <c r="A4" s="240" t="s">
        <v>34</v>
      </c>
      <c r="B4" s="97" t="s">
        <v>148</v>
      </c>
      <c r="C4" s="40"/>
      <c r="D4" s="34" t="s">
        <v>341</v>
      </c>
      <c r="E4" s="34" t="s">
        <v>341</v>
      </c>
    </row>
    <row r="5" spans="1:5" ht="12.75">
      <c r="A5" s="240"/>
      <c r="B5" s="97" t="s">
        <v>150</v>
      </c>
      <c r="C5" s="103" t="s">
        <v>284</v>
      </c>
      <c r="D5" s="34"/>
      <c r="E5" s="34"/>
    </row>
    <row r="6" spans="1:15" ht="12.75">
      <c r="A6" s="245" t="s">
        <v>35</v>
      </c>
      <c r="B6" s="113" t="s">
        <v>149</v>
      </c>
      <c r="C6" s="103" t="s">
        <v>284</v>
      </c>
      <c r="D6" s="103"/>
      <c r="E6" s="154"/>
      <c r="F6" s="155">
        <v>2007</v>
      </c>
      <c r="G6" s="155">
        <v>2008</v>
      </c>
      <c r="H6" s="155">
        <v>2009</v>
      </c>
      <c r="I6" s="155">
        <v>2010</v>
      </c>
      <c r="J6" s="155">
        <v>2011</v>
      </c>
      <c r="K6" s="87">
        <v>2012</v>
      </c>
      <c r="L6" s="87">
        <v>2013</v>
      </c>
      <c r="M6" s="87">
        <v>2014</v>
      </c>
      <c r="N6" s="87">
        <v>2015</v>
      </c>
      <c r="O6" s="87">
        <v>2016</v>
      </c>
    </row>
    <row r="7" spans="1:15" s="80" customFormat="1" ht="12.75">
      <c r="A7" s="238" t="s">
        <v>571</v>
      </c>
      <c r="B7" s="238"/>
      <c r="C7" s="238"/>
      <c r="D7" s="33"/>
      <c r="E7" s="33" t="s">
        <v>31</v>
      </c>
      <c r="F7" s="33"/>
      <c r="G7" s="33"/>
      <c r="H7" s="33"/>
      <c r="I7" s="33"/>
      <c r="J7" s="33"/>
      <c r="K7" s="33"/>
      <c r="L7" s="33"/>
      <c r="M7" s="33"/>
      <c r="N7" s="33"/>
      <c r="O7" s="33"/>
    </row>
    <row r="8" spans="1:15" ht="12.75">
      <c r="A8" s="243" t="s">
        <v>35</v>
      </c>
      <c r="B8" s="240"/>
      <c r="C8" s="240"/>
      <c r="D8" s="92"/>
      <c r="E8" s="119" t="s">
        <v>40</v>
      </c>
      <c r="F8" s="1"/>
      <c r="G8" s="1"/>
      <c r="H8" s="1"/>
      <c r="I8" s="1"/>
      <c r="J8" s="1"/>
      <c r="K8" s="1"/>
      <c r="L8" s="1"/>
      <c r="M8" s="1"/>
      <c r="N8" s="1"/>
      <c r="O8" s="1"/>
    </row>
    <row r="9" spans="1:15" ht="12.75">
      <c r="A9" s="240" t="s">
        <v>36</v>
      </c>
      <c r="B9" s="240"/>
      <c r="C9" s="240"/>
      <c r="D9" s="92"/>
      <c r="E9" s="93" t="s">
        <v>41</v>
      </c>
      <c r="F9" s="2">
        <v>15205</v>
      </c>
      <c r="G9" s="2">
        <v>17035</v>
      </c>
      <c r="H9" s="2">
        <v>15315</v>
      </c>
      <c r="I9" s="2">
        <v>14630</v>
      </c>
      <c r="J9" s="2">
        <v>15613</v>
      </c>
      <c r="K9" s="2">
        <v>16693</v>
      </c>
      <c r="L9" s="2">
        <v>17264</v>
      </c>
      <c r="M9" s="2">
        <v>18934</v>
      </c>
      <c r="N9" s="2">
        <v>18450</v>
      </c>
      <c r="O9" s="2">
        <v>18725</v>
      </c>
    </row>
    <row r="10" spans="1:15" ht="12.75">
      <c r="A10" s="240" t="s">
        <v>36</v>
      </c>
      <c r="B10" s="240"/>
      <c r="C10" s="240"/>
      <c r="D10" s="92"/>
      <c r="E10" s="93" t="s">
        <v>42</v>
      </c>
      <c r="F10" s="2">
        <v>2024</v>
      </c>
      <c r="G10" s="2">
        <v>2095</v>
      </c>
      <c r="H10" s="2">
        <v>2274</v>
      </c>
      <c r="I10" s="2">
        <v>2295</v>
      </c>
      <c r="J10" s="2">
        <v>6008</v>
      </c>
      <c r="K10" s="2">
        <v>5541</v>
      </c>
      <c r="L10" s="2">
        <v>4875</v>
      </c>
      <c r="M10" s="2">
        <v>5350</v>
      </c>
      <c r="N10" s="2">
        <v>5200</v>
      </c>
      <c r="O10" s="2">
        <v>4742</v>
      </c>
    </row>
    <row r="11" spans="1:15" ht="12.75">
      <c r="A11" s="240" t="s">
        <v>36</v>
      </c>
      <c r="B11" s="240"/>
      <c r="C11" s="240"/>
      <c r="D11" s="92"/>
      <c r="E11" s="93" t="s">
        <v>43</v>
      </c>
      <c r="F11" s="2">
        <v>2121</v>
      </c>
      <c r="G11" s="2">
        <v>2823</v>
      </c>
      <c r="H11" s="2">
        <v>2999</v>
      </c>
      <c r="I11" s="2">
        <v>3276</v>
      </c>
      <c r="J11" s="2">
        <v>5146</v>
      </c>
      <c r="K11" s="2">
        <v>5079</v>
      </c>
      <c r="L11" s="2">
        <v>4011</v>
      </c>
      <c r="M11" s="2">
        <v>3878</v>
      </c>
      <c r="N11" s="2">
        <v>3401</v>
      </c>
      <c r="O11" s="2">
        <v>3112</v>
      </c>
    </row>
    <row r="12" spans="1:15" ht="12.75">
      <c r="A12" s="240" t="s">
        <v>36</v>
      </c>
      <c r="B12" s="240"/>
      <c r="C12" s="240"/>
      <c r="D12" s="92"/>
      <c r="E12" s="93" t="s">
        <v>44</v>
      </c>
      <c r="F12" s="2">
        <v>32</v>
      </c>
      <c r="G12" s="2">
        <v>27</v>
      </c>
      <c r="H12" s="2">
        <v>19</v>
      </c>
      <c r="I12" s="2">
        <v>17</v>
      </c>
      <c r="J12" s="2">
        <v>18</v>
      </c>
      <c r="K12" s="2">
        <v>16</v>
      </c>
      <c r="L12" s="2">
        <v>221</v>
      </c>
      <c r="M12" s="2">
        <v>228</v>
      </c>
      <c r="N12" s="2">
        <v>209</v>
      </c>
      <c r="O12" s="2">
        <v>210</v>
      </c>
    </row>
    <row r="13" spans="1:15" ht="12.75">
      <c r="A13" s="240" t="s">
        <v>36</v>
      </c>
      <c r="B13" s="240"/>
      <c r="C13" s="240"/>
      <c r="D13" s="92"/>
      <c r="E13" s="93" t="s">
        <v>45</v>
      </c>
      <c r="F13" s="2">
        <v>2141</v>
      </c>
      <c r="G13" s="2">
        <v>3180</v>
      </c>
      <c r="H13" s="2">
        <v>2693</v>
      </c>
      <c r="I13" s="2">
        <v>2981</v>
      </c>
      <c r="J13" s="2">
        <v>3669</v>
      </c>
      <c r="K13" s="2">
        <v>4156</v>
      </c>
      <c r="L13" s="2">
        <v>4385</v>
      </c>
      <c r="M13" s="2">
        <v>5351</v>
      </c>
      <c r="N13" s="2">
        <v>5889</v>
      </c>
      <c r="O13" s="2">
        <v>6168</v>
      </c>
    </row>
    <row r="14" spans="1:15" ht="12.75">
      <c r="A14" s="240" t="s">
        <v>36</v>
      </c>
      <c r="B14" s="240"/>
      <c r="C14" s="240"/>
      <c r="D14" s="92"/>
      <c r="E14" s="93" t="s">
        <v>46</v>
      </c>
      <c r="F14" s="2">
        <v>712</v>
      </c>
      <c r="G14" s="2">
        <v>280</v>
      </c>
      <c r="H14" s="2">
        <v>434</v>
      </c>
      <c r="I14" s="2">
        <v>577</v>
      </c>
      <c r="J14" s="2">
        <v>306</v>
      </c>
      <c r="K14" s="2">
        <v>333</v>
      </c>
      <c r="L14" s="2">
        <v>279</v>
      </c>
      <c r="M14" s="2">
        <v>312</v>
      </c>
      <c r="N14" s="2">
        <v>284</v>
      </c>
      <c r="O14" s="2">
        <v>287</v>
      </c>
    </row>
    <row r="15" spans="1:15" ht="12.75">
      <c r="A15" s="240" t="s">
        <v>36</v>
      </c>
      <c r="B15" s="240"/>
      <c r="C15" s="240"/>
      <c r="D15" s="92"/>
      <c r="E15" s="93" t="s">
        <v>417</v>
      </c>
      <c r="F15" s="2"/>
      <c r="G15" s="2"/>
      <c r="H15" s="2"/>
      <c r="I15" s="2"/>
      <c r="J15" s="2">
        <v>371</v>
      </c>
      <c r="K15" s="2">
        <v>286</v>
      </c>
      <c r="L15" s="2">
        <v>445</v>
      </c>
      <c r="M15" s="2">
        <v>399</v>
      </c>
      <c r="N15" s="2">
        <v>397</v>
      </c>
      <c r="O15" s="2">
        <v>345</v>
      </c>
    </row>
    <row r="16" spans="1:15" ht="12.75">
      <c r="A16" s="240" t="s">
        <v>36</v>
      </c>
      <c r="B16" s="240"/>
      <c r="C16" s="240"/>
      <c r="D16" s="92"/>
      <c r="E16" s="93" t="s">
        <v>47</v>
      </c>
      <c r="F16" s="2">
        <v>1572</v>
      </c>
      <c r="G16" s="2">
        <v>1472</v>
      </c>
      <c r="H16" s="2">
        <v>1745</v>
      </c>
      <c r="I16" s="2">
        <v>2836</v>
      </c>
      <c r="J16" s="2">
        <v>1212</v>
      </c>
      <c r="K16" s="2">
        <v>481</v>
      </c>
      <c r="L16" s="2">
        <v>752</v>
      </c>
      <c r="M16" s="2">
        <v>1110</v>
      </c>
      <c r="N16" s="2">
        <v>858</v>
      </c>
      <c r="O16" s="2">
        <v>400</v>
      </c>
    </row>
    <row r="17" spans="1:15" ht="12.75">
      <c r="A17" s="240" t="s">
        <v>37</v>
      </c>
      <c r="B17" s="240"/>
      <c r="C17" s="240"/>
      <c r="D17" s="92"/>
      <c r="E17" s="119" t="s">
        <v>48</v>
      </c>
      <c r="F17" s="1">
        <v>23807</v>
      </c>
      <c r="G17" s="1">
        <v>26912</v>
      </c>
      <c r="H17" s="1">
        <v>25479</v>
      </c>
      <c r="I17" s="1">
        <v>26612</v>
      </c>
      <c r="J17" s="1">
        <v>32343</v>
      </c>
      <c r="K17" s="1">
        <v>32585</v>
      </c>
      <c r="L17" s="1">
        <v>32232</v>
      </c>
      <c r="M17" s="1">
        <v>35562</v>
      </c>
      <c r="N17" s="1">
        <v>34688</v>
      </c>
      <c r="O17" s="1">
        <v>33989</v>
      </c>
    </row>
    <row r="18" spans="1:15" ht="12.75">
      <c r="A18" s="240" t="s">
        <v>36</v>
      </c>
      <c r="B18" s="240"/>
      <c r="C18" s="240"/>
      <c r="D18" s="92"/>
      <c r="E18" s="93" t="s">
        <v>49</v>
      </c>
      <c r="F18" s="2">
        <v>12398</v>
      </c>
      <c r="G18" s="2">
        <v>12680</v>
      </c>
      <c r="H18" s="2">
        <v>10050</v>
      </c>
      <c r="I18" s="2">
        <v>11130</v>
      </c>
      <c r="J18" s="2">
        <v>11957</v>
      </c>
      <c r="K18" s="2">
        <v>12963</v>
      </c>
      <c r="L18" s="2">
        <v>12154</v>
      </c>
      <c r="M18" s="2">
        <v>14324</v>
      </c>
      <c r="N18" s="2">
        <v>14179</v>
      </c>
      <c r="O18" s="2">
        <v>13418</v>
      </c>
    </row>
    <row r="19" spans="1:15" ht="12.75">
      <c r="A19" s="240" t="s">
        <v>36</v>
      </c>
      <c r="B19" s="240"/>
      <c r="C19" s="240"/>
      <c r="D19" s="92"/>
      <c r="E19" s="93" t="s">
        <v>50</v>
      </c>
      <c r="F19" s="2">
        <v>20379</v>
      </c>
      <c r="G19" s="2">
        <v>20734</v>
      </c>
      <c r="H19" s="2">
        <v>20173</v>
      </c>
      <c r="I19" s="2">
        <v>19346</v>
      </c>
      <c r="J19" s="2">
        <v>19226</v>
      </c>
      <c r="K19" s="2">
        <v>18288</v>
      </c>
      <c r="L19" s="2">
        <v>19441</v>
      </c>
      <c r="M19" s="2">
        <v>20663</v>
      </c>
      <c r="N19" s="2">
        <v>17745</v>
      </c>
      <c r="O19" s="2">
        <v>19408</v>
      </c>
    </row>
    <row r="20" spans="1:15" ht="12.75">
      <c r="A20" s="240" t="s">
        <v>36</v>
      </c>
      <c r="B20" s="240"/>
      <c r="C20" s="240"/>
      <c r="D20" s="92"/>
      <c r="E20" s="93" t="s">
        <v>51</v>
      </c>
      <c r="F20" s="2">
        <v>391</v>
      </c>
      <c r="G20" s="2">
        <v>511</v>
      </c>
      <c r="H20" s="2">
        <v>1103</v>
      </c>
      <c r="I20" s="2">
        <v>367</v>
      </c>
      <c r="J20" s="2">
        <v>666</v>
      </c>
      <c r="K20" s="2">
        <v>609</v>
      </c>
      <c r="L20" s="2">
        <v>746</v>
      </c>
      <c r="M20" s="2">
        <v>784</v>
      </c>
      <c r="N20" s="2">
        <v>730</v>
      </c>
      <c r="O20" s="2">
        <v>701</v>
      </c>
    </row>
    <row r="21" spans="1:15" ht="12.75">
      <c r="A21" s="240" t="s">
        <v>36</v>
      </c>
      <c r="B21" s="240"/>
      <c r="C21" s="240"/>
      <c r="D21" s="92"/>
      <c r="E21" s="93" t="s">
        <v>52</v>
      </c>
      <c r="F21" s="2">
        <v>411</v>
      </c>
      <c r="G21" s="2">
        <v>1425</v>
      </c>
      <c r="H21" s="2">
        <v>377</v>
      </c>
      <c r="I21" s="2">
        <v>386</v>
      </c>
      <c r="J21" s="2">
        <v>252</v>
      </c>
      <c r="K21" s="2">
        <v>184</v>
      </c>
      <c r="L21" s="2">
        <v>268</v>
      </c>
      <c r="M21" s="2">
        <v>375</v>
      </c>
      <c r="N21" s="2">
        <v>149</v>
      </c>
      <c r="O21" s="2">
        <v>103</v>
      </c>
    </row>
    <row r="22" spans="1:15" ht="12.75">
      <c r="A22" s="240" t="s">
        <v>36</v>
      </c>
      <c r="B22" s="240"/>
      <c r="C22" s="240"/>
      <c r="D22" s="92"/>
      <c r="E22" s="93" t="s">
        <v>53</v>
      </c>
      <c r="F22" s="2">
        <v>2992</v>
      </c>
      <c r="G22" s="2">
        <v>3460</v>
      </c>
      <c r="H22" s="2">
        <v>2947</v>
      </c>
      <c r="I22" s="2">
        <v>3569</v>
      </c>
      <c r="J22" s="2">
        <v>3662</v>
      </c>
      <c r="K22" s="2">
        <v>3607</v>
      </c>
      <c r="L22" s="2">
        <v>4405</v>
      </c>
      <c r="M22" s="2">
        <v>4774</v>
      </c>
      <c r="N22" s="2">
        <v>5176</v>
      </c>
      <c r="O22" s="2">
        <v>4568</v>
      </c>
    </row>
    <row r="23" spans="1:15" ht="12.75">
      <c r="A23" s="240" t="s">
        <v>36</v>
      </c>
      <c r="B23" s="240"/>
      <c r="C23" s="240"/>
      <c r="D23" s="92"/>
      <c r="E23" s="93" t="s">
        <v>54</v>
      </c>
      <c r="F23" s="2">
        <v>165</v>
      </c>
      <c r="G23" s="2">
        <v>296</v>
      </c>
      <c r="H23" s="2">
        <v>3030</v>
      </c>
      <c r="I23" s="2">
        <v>1722</v>
      </c>
      <c r="J23" s="2">
        <v>337</v>
      </c>
      <c r="K23" s="2">
        <v>123</v>
      </c>
      <c r="L23" s="2">
        <v>148</v>
      </c>
      <c r="M23" s="2">
        <v>99</v>
      </c>
      <c r="N23" s="2">
        <v>108</v>
      </c>
      <c r="O23" s="2">
        <v>905</v>
      </c>
    </row>
    <row r="24" spans="1:15" ht="12.75">
      <c r="A24" s="240" t="s">
        <v>36</v>
      </c>
      <c r="B24" s="240"/>
      <c r="C24" s="240"/>
      <c r="D24" s="92"/>
      <c r="E24" s="93" t="s">
        <v>55</v>
      </c>
      <c r="F24" s="2">
        <v>5546</v>
      </c>
      <c r="G24" s="2">
        <v>7305</v>
      </c>
      <c r="H24" s="2">
        <v>9537</v>
      </c>
      <c r="I24" s="2">
        <v>10389</v>
      </c>
      <c r="J24" s="2">
        <v>6966</v>
      </c>
      <c r="K24" s="2">
        <v>6835</v>
      </c>
      <c r="L24" s="2">
        <v>6607</v>
      </c>
      <c r="M24" s="2">
        <v>9107</v>
      </c>
      <c r="N24" s="2">
        <v>10696</v>
      </c>
      <c r="O24" s="2">
        <v>12756</v>
      </c>
    </row>
    <row r="25" spans="1:15" ht="12.75">
      <c r="A25" s="240" t="s">
        <v>37</v>
      </c>
      <c r="B25" s="240"/>
      <c r="C25" s="240"/>
      <c r="D25" s="92"/>
      <c r="E25" s="119" t="s">
        <v>56</v>
      </c>
      <c r="F25" s="1">
        <v>42282</v>
      </c>
      <c r="G25" s="1">
        <v>46411</v>
      </c>
      <c r="H25" s="1">
        <v>47217</v>
      </c>
      <c r="I25" s="1">
        <v>46909</v>
      </c>
      <c r="J25" s="1">
        <v>43066</v>
      </c>
      <c r="K25" s="1">
        <v>42609</v>
      </c>
      <c r="L25" s="1">
        <v>43769</v>
      </c>
      <c r="M25" s="1">
        <v>50126</v>
      </c>
      <c r="N25" s="1">
        <v>48783</v>
      </c>
      <c r="O25" s="1">
        <v>51859</v>
      </c>
    </row>
    <row r="26" spans="1:15" ht="12.75">
      <c r="A26" s="240" t="s">
        <v>37</v>
      </c>
      <c r="B26" s="240"/>
      <c r="C26" s="240"/>
      <c r="D26" s="92"/>
      <c r="E26" s="119" t="s">
        <v>57</v>
      </c>
      <c r="F26" s="1">
        <v>66089</v>
      </c>
      <c r="G26" s="1">
        <v>73323</v>
      </c>
      <c r="H26" s="1">
        <v>72696</v>
      </c>
      <c r="I26" s="1">
        <v>73521</v>
      </c>
      <c r="J26" s="1">
        <v>75409</v>
      </c>
      <c r="K26" s="1">
        <v>75194</v>
      </c>
      <c r="L26" s="1">
        <v>76001</v>
      </c>
      <c r="M26" s="1">
        <v>85688</v>
      </c>
      <c r="N26" s="1">
        <v>83471</v>
      </c>
      <c r="O26" s="1">
        <v>85848</v>
      </c>
    </row>
    <row r="27" spans="1:15" ht="12.75">
      <c r="A27" s="240" t="s">
        <v>38</v>
      </c>
      <c r="B27" s="240"/>
      <c r="C27" s="240"/>
      <c r="D27" s="92"/>
      <c r="E27" s="93"/>
      <c r="F27" s="2"/>
      <c r="G27" s="2"/>
      <c r="H27" s="2"/>
      <c r="I27" s="2"/>
      <c r="J27" s="2"/>
      <c r="K27" s="2"/>
      <c r="L27" s="2"/>
      <c r="M27" s="2"/>
      <c r="N27" s="2"/>
      <c r="O27" s="2"/>
    </row>
    <row r="28" spans="1:15" ht="12.75">
      <c r="A28" s="240" t="s">
        <v>35</v>
      </c>
      <c r="B28" s="240"/>
      <c r="C28" s="240"/>
      <c r="D28" s="92"/>
      <c r="E28" s="119" t="s">
        <v>58</v>
      </c>
      <c r="F28" s="1"/>
      <c r="G28" s="1"/>
      <c r="H28" s="1"/>
      <c r="I28" s="1"/>
      <c r="J28" s="1"/>
      <c r="K28" s="1"/>
      <c r="L28" s="1"/>
      <c r="M28" s="1"/>
      <c r="N28" s="1"/>
      <c r="O28" s="1"/>
    </row>
    <row r="29" spans="1:15" ht="26.25">
      <c r="A29" s="240" t="s">
        <v>35</v>
      </c>
      <c r="B29" s="240"/>
      <c r="C29" s="240"/>
      <c r="D29" s="92"/>
      <c r="E29" s="123" t="s">
        <v>59</v>
      </c>
      <c r="F29" s="2"/>
      <c r="G29" s="2"/>
      <c r="H29" s="2"/>
      <c r="I29" s="2"/>
      <c r="J29" s="2"/>
      <c r="K29" s="2"/>
      <c r="L29" s="2"/>
      <c r="M29" s="2"/>
      <c r="N29" s="2"/>
      <c r="O29" s="2"/>
    </row>
    <row r="30" spans="1:15" ht="12.75">
      <c r="A30" s="240" t="s">
        <v>36</v>
      </c>
      <c r="B30" s="240"/>
      <c r="C30" s="240"/>
      <c r="D30" s="92"/>
      <c r="E30" s="139" t="s">
        <v>60</v>
      </c>
      <c r="F30" s="2">
        <v>1545</v>
      </c>
      <c r="G30" s="2">
        <v>1545</v>
      </c>
      <c r="H30" s="2">
        <v>1545</v>
      </c>
      <c r="I30" s="2">
        <v>1545</v>
      </c>
      <c r="J30" s="2">
        <v>1545</v>
      </c>
      <c r="K30" s="2">
        <v>1545</v>
      </c>
      <c r="L30" s="2">
        <v>1545</v>
      </c>
      <c r="M30" s="2">
        <v>1545</v>
      </c>
      <c r="N30" s="2">
        <v>1545</v>
      </c>
      <c r="O30" s="2">
        <v>1545</v>
      </c>
    </row>
    <row r="31" spans="1:15" ht="12.75">
      <c r="A31" s="240" t="s">
        <v>36</v>
      </c>
      <c r="B31" s="240"/>
      <c r="C31" s="240"/>
      <c r="D31" s="92"/>
      <c r="E31" s="139" t="s">
        <v>61</v>
      </c>
      <c r="F31" s="2">
        <v>2905</v>
      </c>
      <c r="G31" s="2">
        <v>2905</v>
      </c>
      <c r="H31" s="2">
        <v>2905</v>
      </c>
      <c r="I31" s="2">
        <v>2905</v>
      </c>
      <c r="J31" s="2">
        <v>2905</v>
      </c>
      <c r="K31" s="2">
        <v>2905</v>
      </c>
      <c r="L31" s="2">
        <v>2905</v>
      </c>
      <c r="M31" s="2">
        <v>2905</v>
      </c>
      <c r="N31" s="2">
        <v>2905</v>
      </c>
      <c r="O31" s="2">
        <v>2905</v>
      </c>
    </row>
    <row r="32" spans="1:15" ht="12.75">
      <c r="A32" s="240" t="s">
        <v>36</v>
      </c>
      <c r="B32" s="240"/>
      <c r="C32" s="240"/>
      <c r="D32" s="92"/>
      <c r="E32" s="139" t="s">
        <v>62</v>
      </c>
      <c r="F32" s="2">
        <v>844</v>
      </c>
      <c r="G32" s="2">
        <v>2052</v>
      </c>
      <c r="H32" s="2">
        <v>1814</v>
      </c>
      <c r="I32" s="2">
        <v>636</v>
      </c>
      <c r="J32" s="2">
        <v>324</v>
      </c>
      <c r="K32" s="2">
        <v>-1146</v>
      </c>
      <c r="L32" s="2">
        <v>-2658</v>
      </c>
      <c r="M32" s="2">
        <v>-251</v>
      </c>
      <c r="N32" s="2">
        <v>-1739</v>
      </c>
      <c r="O32" s="2">
        <v>-1471</v>
      </c>
    </row>
    <row r="33" spans="1:15" ht="12.75">
      <c r="A33" s="240" t="s">
        <v>36</v>
      </c>
      <c r="B33" s="240"/>
      <c r="C33" s="240"/>
      <c r="D33" s="92"/>
      <c r="E33" s="139" t="s">
        <v>63</v>
      </c>
      <c r="F33" s="2">
        <v>10745</v>
      </c>
      <c r="G33" s="2">
        <v>9883</v>
      </c>
      <c r="H33" s="2">
        <v>12577</v>
      </c>
      <c r="I33" s="2">
        <v>15527</v>
      </c>
      <c r="J33" s="2">
        <v>12763</v>
      </c>
      <c r="K33" s="2">
        <v>12381</v>
      </c>
      <c r="L33" s="2">
        <v>12482</v>
      </c>
      <c r="M33" s="2">
        <v>12235</v>
      </c>
      <c r="N33" s="2">
        <v>12264</v>
      </c>
      <c r="O33" s="2">
        <v>14729</v>
      </c>
    </row>
    <row r="34" spans="1:15" ht="26.25">
      <c r="A34" s="240" t="s">
        <v>37</v>
      </c>
      <c r="B34" s="240"/>
      <c r="C34" s="240"/>
      <c r="D34" s="92"/>
      <c r="E34" s="214" t="s">
        <v>59</v>
      </c>
      <c r="F34" s="1">
        <v>16039</v>
      </c>
      <c r="G34" s="1">
        <v>16385</v>
      </c>
      <c r="H34" s="1">
        <v>18841</v>
      </c>
      <c r="I34" s="1">
        <v>20613</v>
      </c>
      <c r="J34" s="1">
        <v>17537</v>
      </c>
      <c r="K34" s="1">
        <v>15685</v>
      </c>
      <c r="L34" s="1">
        <v>14274</v>
      </c>
      <c r="M34" s="1">
        <v>16434</v>
      </c>
      <c r="N34" s="1">
        <v>14975</v>
      </c>
      <c r="O34" s="1">
        <v>17708</v>
      </c>
    </row>
    <row r="35" spans="1:15" ht="12.75">
      <c r="A35" s="240" t="s">
        <v>36</v>
      </c>
      <c r="B35" s="240"/>
      <c r="C35" s="240"/>
      <c r="D35" s="92"/>
      <c r="E35" s="49" t="s">
        <v>474</v>
      </c>
      <c r="F35" s="2">
        <v>1</v>
      </c>
      <c r="G35" s="2">
        <v>0</v>
      </c>
      <c r="H35" s="2">
        <v>0</v>
      </c>
      <c r="I35" s="2">
        <v>0</v>
      </c>
      <c r="J35" s="2">
        <v>109</v>
      </c>
      <c r="K35" s="2">
        <v>41</v>
      </c>
      <c r="L35" s="2">
        <v>34</v>
      </c>
      <c r="M35" s="2">
        <v>34</v>
      </c>
      <c r="N35" s="2">
        <v>30</v>
      </c>
      <c r="O35" s="2">
        <v>30</v>
      </c>
    </row>
    <row r="36" spans="1:15" ht="12.75">
      <c r="A36" s="240" t="s">
        <v>37</v>
      </c>
      <c r="B36" s="240"/>
      <c r="C36" s="240"/>
      <c r="D36" s="92"/>
      <c r="E36" s="119" t="s">
        <v>64</v>
      </c>
      <c r="F36" s="1">
        <v>16040</v>
      </c>
      <c r="G36" s="1">
        <v>16385</v>
      </c>
      <c r="H36" s="1">
        <v>18841</v>
      </c>
      <c r="I36" s="1">
        <v>20613</v>
      </c>
      <c r="J36" s="1">
        <v>17646</v>
      </c>
      <c r="K36" s="1">
        <v>15726</v>
      </c>
      <c r="L36" s="1">
        <v>14308</v>
      </c>
      <c r="M36" s="1">
        <v>16468</v>
      </c>
      <c r="N36" s="1">
        <v>15005</v>
      </c>
      <c r="O36" s="1">
        <v>17738</v>
      </c>
    </row>
    <row r="37" spans="1:15" ht="12.75">
      <c r="A37" s="240" t="s">
        <v>36</v>
      </c>
      <c r="B37" s="240"/>
      <c r="C37" s="240"/>
      <c r="D37" s="92"/>
      <c r="E37" s="93" t="s">
        <v>65</v>
      </c>
      <c r="F37" s="2">
        <v>4887</v>
      </c>
      <c r="G37" s="2">
        <v>9963</v>
      </c>
      <c r="H37" s="2">
        <v>10241</v>
      </c>
      <c r="I37" s="2">
        <v>8413</v>
      </c>
      <c r="J37" s="2">
        <v>9639</v>
      </c>
      <c r="K37" s="2">
        <v>10005</v>
      </c>
      <c r="L37" s="2">
        <v>11935</v>
      </c>
      <c r="M37" s="2">
        <v>9529</v>
      </c>
      <c r="N37" s="2">
        <v>8323</v>
      </c>
      <c r="O37" s="2">
        <v>7952</v>
      </c>
    </row>
    <row r="38" spans="1:15" ht="12.75">
      <c r="A38" s="240" t="s">
        <v>36</v>
      </c>
      <c r="B38" s="240"/>
      <c r="C38" s="240"/>
      <c r="D38" s="92"/>
      <c r="E38" s="93" t="s">
        <v>66</v>
      </c>
      <c r="F38" s="2">
        <v>935</v>
      </c>
      <c r="G38" s="2">
        <v>840</v>
      </c>
      <c r="H38" s="2">
        <v>819</v>
      </c>
      <c r="I38" s="2">
        <v>806</v>
      </c>
      <c r="J38" s="2">
        <v>1076</v>
      </c>
      <c r="K38" s="2">
        <v>1117</v>
      </c>
      <c r="L38" s="2">
        <v>1026</v>
      </c>
      <c r="M38" s="2">
        <v>687</v>
      </c>
      <c r="N38" s="2">
        <v>645</v>
      </c>
      <c r="O38" s="2">
        <v>580</v>
      </c>
    </row>
    <row r="39" spans="1:15" ht="26.25">
      <c r="A39" s="240" t="s">
        <v>36</v>
      </c>
      <c r="B39" s="240"/>
      <c r="C39" s="240"/>
      <c r="D39" s="92"/>
      <c r="E39" s="139" t="s">
        <v>67</v>
      </c>
      <c r="F39" s="2">
        <v>6266</v>
      </c>
      <c r="G39" s="2">
        <v>6864</v>
      </c>
      <c r="H39" s="2">
        <v>2168</v>
      </c>
      <c r="I39" s="2">
        <v>2486</v>
      </c>
      <c r="J39" s="2">
        <v>3992</v>
      </c>
      <c r="K39" s="2">
        <v>4765</v>
      </c>
      <c r="L39" s="2">
        <v>3425</v>
      </c>
      <c r="M39" s="2">
        <v>5162</v>
      </c>
      <c r="N39" s="2">
        <v>4906</v>
      </c>
      <c r="O39" s="2">
        <v>4514</v>
      </c>
    </row>
    <row r="40" spans="1:15" ht="12.75">
      <c r="A40" s="240" t="s">
        <v>36</v>
      </c>
      <c r="B40" s="240"/>
      <c r="C40" s="240"/>
      <c r="D40" s="92"/>
      <c r="E40" s="93" t="s">
        <v>68</v>
      </c>
      <c r="F40" s="2">
        <v>3813</v>
      </c>
      <c r="G40" s="2">
        <v>4175</v>
      </c>
      <c r="H40" s="2">
        <v>5449</v>
      </c>
      <c r="I40" s="2">
        <v>5306</v>
      </c>
      <c r="J40" s="2">
        <v>5300</v>
      </c>
      <c r="K40" s="2">
        <v>4551</v>
      </c>
      <c r="L40" s="2">
        <v>4522</v>
      </c>
      <c r="M40" s="2">
        <v>5665</v>
      </c>
      <c r="N40" s="2">
        <v>5649</v>
      </c>
      <c r="O40" s="2">
        <v>5792</v>
      </c>
    </row>
    <row r="41" spans="1:15" ht="12.75">
      <c r="A41" s="240" t="s">
        <v>37</v>
      </c>
      <c r="B41" s="240"/>
      <c r="C41" s="240"/>
      <c r="D41" s="92"/>
      <c r="E41" s="119" t="s">
        <v>69</v>
      </c>
      <c r="F41" s="1">
        <v>15901</v>
      </c>
      <c r="G41" s="1">
        <v>21842</v>
      </c>
      <c r="H41" s="1">
        <v>18677</v>
      </c>
      <c r="I41" s="1">
        <v>17011</v>
      </c>
      <c r="J41" s="1">
        <v>20007</v>
      </c>
      <c r="K41" s="1">
        <v>20438</v>
      </c>
      <c r="L41" s="1">
        <v>20908</v>
      </c>
      <c r="M41" s="1">
        <v>21043</v>
      </c>
      <c r="N41" s="1">
        <v>19523</v>
      </c>
      <c r="O41" s="1">
        <v>18838</v>
      </c>
    </row>
    <row r="42" spans="1:15" ht="12.75">
      <c r="A42" s="240" t="s">
        <v>36</v>
      </c>
      <c r="B42" s="240"/>
      <c r="C42" s="240"/>
      <c r="D42" s="92"/>
      <c r="E42" s="93" t="s">
        <v>70</v>
      </c>
      <c r="F42" s="2">
        <v>14788</v>
      </c>
      <c r="G42" s="2">
        <v>15681</v>
      </c>
      <c r="H42" s="2">
        <v>16031</v>
      </c>
      <c r="I42" s="2">
        <v>17283</v>
      </c>
      <c r="J42" s="2">
        <v>18490</v>
      </c>
      <c r="K42" s="2">
        <v>20590</v>
      </c>
      <c r="L42" s="2">
        <v>20607</v>
      </c>
      <c r="M42" s="2">
        <v>25705</v>
      </c>
      <c r="N42" s="2">
        <v>26467</v>
      </c>
      <c r="O42" s="2">
        <v>28283</v>
      </c>
    </row>
    <row r="43" spans="1:15" ht="12.75">
      <c r="A43" s="240" t="s">
        <v>36</v>
      </c>
      <c r="B43" s="240"/>
      <c r="C43" s="240"/>
      <c r="D43" s="92"/>
      <c r="E43" s="93" t="s">
        <v>71</v>
      </c>
      <c r="F43" s="2">
        <v>2027</v>
      </c>
      <c r="G43" s="2">
        <v>2329</v>
      </c>
      <c r="H43" s="2">
        <v>2367</v>
      </c>
      <c r="I43" s="2">
        <v>1868</v>
      </c>
      <c r="J43" s="2">
        <v>1717</v>
      </c>
      <c r="K43" s="2">
        <v>1287</v>
      </c>
      <c r="L43" s="2">
        <v>1331</v>
      </c>
      <c r="M43" s="2">
        <v>1042</v>
      </c>
      <c r="N43" s="2">
        <v>813</v>
      </c>
      <c r="O43" s="2">
        <v>771</v>
      </c>
    </row>
    <row r="44" spans="1:15" ht="12.75">
      <c r="A44" s="240" t="s">
        <v>36</v>
      </c>
      <c r="B44" s="240"/>
      <c r="C44" s="240"/>
      <c r="D44" s="92"/>
      <c r="E44" s="49" t="s">
        <v>476</v>
      </c>
      <c r="F44" s="2">
        <v>10049</v>
      </c>
      <c r="G44" s="2">
        <v>10644</v>
      </c>
      <c r="H44" s="2">
        <v>11235</v>
      </c>
      <c r="I44" s="2">
        <v>10907</v>
      </c>
      <c r="J44" s="2">
        <v>10690</v>
      </c>
      <c r="K44" s="2">
        <v>11971</v>
      </c>
      <c r="L44" s="2">
        <v>12886</v>
      </c>
      <c r="M44" s="2">
        <v>13531</v>
      </c>
      <c r="N44" s="2">
        <v>14529</v>
      </c>
      <c r="O44" s="2">
        <v>15727</v>
      </c>
    </row>
    <row r="45" spans="1:15" ht="12.75">
      <c r="A45" s="240" t="s">
        <v>36</v>
      </c>
      <c r="B45" s="240"/>
      <c r="C45" s="240"/>
      <c r="D45" s="92"/>
      <c r="E45" s="93" t="s">
        <v>72</v>
      </c>
      <c r="F45" s="2">
        <v>5701</v>
      </c>
      <c r="G45" s="2">
        <v>3168</v>
      </c>
      <c r="H45" s="2">
        <v>3364</v>
      </c>
      <c r="I45" s="2">
        <v>3139</v>
      </c>
      <c r="J45" s="2">
        <v>4170</v>
      </c>
      <c r="K45" s="2">
        <v>2795</v>
      </c>
      <c r="L45" s="2">
        <v>2733</v>
      </c>
      <c r="M45" s="2">
        <v>4960</v>
      </c>
      <c r="N45" s="2">
        <v>4504</v>
      </c>
      <c r="O45" s="2">
        <v>1807</v>
      </c>
    </row>
    <row r="46" spans="1:15" ht="12.75">
      <c r="A46" s="240" t="s">
        <v>36</v>
      </c>
      <c r="B46" s="240"/>
      <c r="C46" s="240"/>
      <c r="D46" s="92"/>
      <c r="E46" s="93" t="s">
        <v>52</v>
      </c>
      <c r="F46" s="2">
        <v>280</v>
      </c>
      <c r="G46" s="2">
        <v>784</v>
      </c>
      <c r="H46" s="2">
        <v>351</v>
      </c>
      <c r="I46" s="2">
        <v>483</v>
      </c>
      <c r="J46" s="2">
        <v>324</v>
      </c>
      <c r="K46" s="2">
        <v>241</v>
      </c>
      <c r="L46" s="2">
        <v>194</v>
      </c>
      <c r="M46" s="2">
        <v>156</v>
      </c>
      <c r="N46" s="2">
        <v>222</v>
      </c>
      <c r="O46" s="2">
        <v>432</v>
      </c>
    </row>
    <row r="47" spans="1:15" ht="12.75">
      <c r="A47" s="240" t="s">
        <v>36</v>
      </c>
      <c r="B47" s="240"/>
      <c r="C47" s="240"/>
      <c r="D47" s="92"/>
      <c r="E47" s="93" t="s">
        <v>68</v>
      </c>
      <c r="F47" s="2">
        <v>1303</v>
      </c>
      <c r="G47" s="2">
        <v>2490</v>
      </c>
      <c r="H47" s="2">
        <v>1830</v>
      </c>
      <c r="I47" s="2">
        <v>2217</v>
      </c>
      <c r="J47" s="2">
        <v>2365</v>
      </c>
      <c r="K47" s="2">
        <v>2146</v>
      </c>
      <c r="L47" s="2">
        <v>3034</v>
      </c>
      <c r="M47" s="2">
        <v>2783</v>
      </c>
      <c r="N47" s="2">
        <v>2408</v>
      </c>
      <c r="O47" s="9">
        <v>2252</v>
      </c>
    </row>
    <row r="48" spans="1:15" ht="12.75">
      <c r="A48" s="240" t="s">
        <v>37</v>
      </c>
      <c r="B48" s="240"/>
      <c r="C48" s="240"/>
      <c r="D48" s="92"/>
      <c r="E48" s="119" t="s">
        <v>73</v>
      </c>
      <c r="F48" s="1">
        <v>34148</v>
      </c>
      <c r="G48" s="1">
        <v>35096</v>
      </c>
      <c r="H48" s="1">
        <v>35178</v>
      </c>
      <c r="I48" s="1">
        <v>35897</v>
      </c>
      <c r="J48" s="1">
        <v>37756</v>
      </c>
      <c r="K48" s="1">
        <v>39030</v>
      </c>
      <c r="L48" s="1">
        <v>40785</v>
      </c>
      <c r="M48" s="1">
        <v>48177</v>
      </c>
      <c r="N48" s="1">
        <v>48943</v>
      </c>
      <c r="O48" s="1">
        <v>49272</v>
      </c>
    </row>
    <row r="49" spans="1:15" ht="12.75">
      <c r="A49" s="240" t="s">
        <v>37</v>
      </c>
      <c r="B49" s="240"/>
      <c r="C49" s="240"/>
      <c r="D49" s="92"/>
      <c r="E49" s="119" t="s">
        <v>74</v>
      </c>
      <c r="F49" s="1">
        <v>66089</v>
      </c>
      <c r="G49" s="1">
        <v>73323</v>
      </c>
      <c r="H49" s="1">
        <v>72696</v>
      </c>
      <c r="I49" s="1">
        <v>73521</v>
      </c>
      <c r="J49" s="1">
        <v>75409</v>
      </c>
      <c r="K49" s="1">
        <v>75194</v>
      </c>
      <c r="L49" s="1">
        <v>76001</v>
      </c>
      <c r="M49" s="1">
        <v>85688</v>
      </c>
      <c r="N49" s="1">
        <v>83471</v>
      </c>
      <c r="O49" s="14">
        <v>85848</v>
      </c>
    </row>
    <row r="50" spans="1:15" ht="12.75">
      <c r="A50" s="240" t="s">
        <v>38</v>
      </c>
      <c r="B50" s="240"/>
      <c r="C50" s="240"/>
      <c r="D50" s="92"/>
      <c r="E50" s="93"/>
      <c r="F50" s="2"/>
      <c r="G50" s="2"/>
      <c r="H50" s="2"/>
      <c r="I50" s="2"/>
      <c r="J50" s="2"/>
      <c r="K50" s="2"/>
      <c r="L50" s="2"/>
      <c r="M50" s="2"/>
      <c r="N50" s="2"/>
      <c r="O50" s="1"/>
    </row>
    <row r="51" spans="1:15" ht="12.75">
      <c r="A51" s="240" t="s">
        <v>37</v>
      </c>
      <c r="B51" s="240"/>
      <c r="C51" s="240"/>
      <c r="D51" s="92"/>
      <c r="E51" s="119" t="s">
        <v>75</v>
      </c>
      <c r="F51" s="1">
        <v>1016</v>
      </c>
      <c r="G51" s="1">
        <v>1293</v>
      </c>
      <c r="H51" s="1">
        <v>1185</v>
      </c>
      <c r="I51" s="1">
        <v>1062</v>
      </c>
      <c r="J51" s="1">
        <v>1276</v>
      </c>
      <c r="K51" s="1">
        <v>1610</v>
      </c>
      <c r="L51" s="1">
        <v>1458</v>
      </c>
      <c r="M51" s="1">
        <v>3739</v>
      </c>
      <c r="N51" s="1">
        <v>1312</v>
      </c>
      <c r="O51" s="62">
        <v>1311</v>
      </c>
    </row>
  </sheetData>
  <sheetProtection/>
  <printOptions/>
  <pageMargins left="0.75" right="0.75" top="1" bottom="1" header="0.5" footer="0.5"/>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O50"/>
  <sheetViews>
    <sheetView zoomScaleSheetLayoutView="70" zoomScalePageLayoutView="0" workbookViewId="0" topLeftCell="A1">
      <selection activeCell="A1" sqref="A1"/>
    </sheetView>
  </sheetViews>
  <sheetFormatPr defaultColWidth="9.140625" defaultRowHeight="12.75"/>
  <cols>
    <col min="1" max="1" width="20.00390625" style="240" customWidth="1"/>
    <col min="2" max="2" width="12.140625" style="91" customWidth="1"/>
    <col min="3" max="3" width="11.140625" style="91" customWidth="1"/>
    <col min="4" max="4" width="45.7109375" style="114" hidden="1" customWidth="1"/>
    <col min="5" max="5" width="56.57421875" style="124" customWidth="1"/>
    <col min="6" max="14" width="9.28125" style="17" customWidth="1"/>
    <col min="15" max="16384" width="9.140625" style="89" customWidth="1"/>
  </cols>
  <sheetData>
    <row r="1" spans="1:5" ht="17.25">
      <c r="A1" s="249">
        <v>42735</v>
      </c>
      <c r="B1" s="97" t="s">
        <v>141</v>
      </c>
      <c r="C1" s="98"/>
      <c r="D1" s="99" t="s">
        <v>289</v>
      </c>
      <c r="E1" s="99" t="s">
        <v>289</v>
      </c>
    </row>
    <row r="2" spans="1:5" ht="12.75">
      <c r="A2" s="250"/>
      <c r="B2" s="97" t="s">
        <v>143</v>
      </c>
      <c r="C2" s="98"/>
      <c r="D2" s="100">
        <f>A1</f>
        <v>42735</v>
      </c>
      <c r="E2" s="101">
        <f>+'Income_statement-Y'!E2</f>
        <v>42004</v>
      </c>
    </row>
    <row r="3" spans="1:5" ht="12.75">
      <c r="A3" s="250"/>
      <c r="B3" s="97" t="s">
        <v>144</v>
      </c>
      <c r="C3" s="98" t="s">
        <v>145</v>
      </c>
      <c r="D3" s="102" t="s">
        <v>146</v>
      </c>
      <c r="E3" s="102" t="s">
        <v>147</v>
      </c>
    </row>
    <row r="4" spans="1:5" ht="38.25" customHeight="1">
      <c r="A4" s="240" t="s">
        <v>34</v>
      </c>
      <c r="B4" s="97" t="s">
        <v>148</v>
      </c>
      <c r="C4" s="97"/>
      <c r="D4" s="125" t="s">
        <v>343</v>
      </c>
      <c r="E4" s="125" t="s">
        <v>343</v>
      </c>
    </row>
    <row r="5" spans="2:5" ht="38.25" customHeight="1">
      <c r="B5" s="97" t="s">
        <v>150</v>
      </c>
      <c r="C5" s="103" t="s">
        <v>284</v>
      </c>
      <c r="D5" s="125"/>
      <c r="E5" s="125"/>
    </row>
    <row r="6" spans="1:15" s="227" customFormat="1" ht="12.75">
      <c r="A6" s="245" t="s">
        <v>35</v>
      </c>
      <c r="B6" s="113" t="s">
        <v>149</v>
      </c>
      <c r="C6" s="113" t="s">
        <v>284</v>
      </c>
      <c r="D6" s="225"/>
      <c r="E6" s="226"/>
      <c r="F6" s="126">
        <v>2007</v>
      </c>
      <c r="G6" s="126">
        <v>2008</v>
      </c>
      <c r="H6" s="126">
        <v>2009</v>
      </c>
      <c r="I6" s="126">
        <v>2010</v>
      </c>
      <c r="J6" s="126">
        <v>2011</v>
      </c>
      <c r="K6" s="126">
        <v>2012</v>
      </c>
      <c r="L6" s="126">
        <v>2013</v>
      </c>
      <c r="M6" s="126">
        <v>2014</v>
      </c>
      <c r="N6" s="126">
        <v>2015</v>
      </c>
      <c r="O6" s="126">
        <v>2016</v>
      </c>
    </row>
    <row r="7" spans="1:15" s="33" customFormat="1" ht="12.75">
      <c r="A7" s="238" t="s">
        <v>571</v>
      </c>
      <c r="B7" s="240"/>
      <c r="C7" s="240"/>
      <c r="D7" s="127"/>
      <c r="E7" s="33" t="s">
        <v>31</v>
      </c>
      <c r="F7" s="81"/>
      <c r="G7" s="81"/>
      <c r="H7" s="81"/>
      <c r="I7" s="81"/>
      <c r="J7" s="81"/>
      <c r="K7" s="81"/>
      <c r="L7" s="81"/>
      <c r="M7" s="81"/>
      <c r="N7" s="81"/>
      <c r="O7" s="81"/>
    </row>
    <row r="8" spans="1:15" s="40" customFormat="1" ht="12.75">
      <c r="A8" s="243" t="s">
        <v>35</v>
      </c>
      <c r="B8" s="240"/>
      <c r="C8" s="240"/>
      <c r="D8" s="59"/>
      <c r="E8" s="86" t="s">
        <v>77</v>
      </c>
      <c r="F8" s="62"/>
      <c r="G8" s="62"/>
      <c r="H8" s="62"/>
      <c r="I8" s="62"/>
      <c r="J8" s="62"/>
      <c r="K8" s="62"/>
      <c r="L8" s="62"/>
      <c r="M8" s="62"/>
      <c r="N8" s="62"/>
      <c r="O8" s="62"/>
    </row>
    <row r="9" spans="1:15" ht="12.75">
      <c r="A9" s="240" t="s">
        <v>36</v>
      </c>
      <c r="B9" s="240" t="s">
        <v>39</v>
      </c>
      <c r="C9" s="240"/>
      <c r="E9" s="114" t="s">
        <v>17</v>
      </c>
      <c r="F9" s="18">
        <v>4475</v>
      </c>
      <c r="G9" s="18">
        <v>1188</v>
      </c>
      <c r="H9" s="18">
        <v>3761</v>
      </c>
      <c r="I9" s="18">
        <v>5430</v>
      </c>
      <c r="J9" s="18">
        <v>3017</v>
      </c>
      <c r="K9" s="18">
        <v>4000</v>
      </c>
      <c r="L9" s="18">
        <v>1580</v>
      </c>
      <c r="M9" s="18">
        <v>3581</v>
      </c>
      <c r="N9" s="18">
        <v>2741</v>
      </c>
      <c r="O9" s="18">
        <v>6274</v>
      </c>
    </row>
    <row r="10" spans="1:15" ht="12.75">
      <c r="A10" s="240" t="s">
        <v>36</v>
      </c>
      <c r="B10" s="240" t="s">
        <v>39</v>
      </c>
      <c r="C10" s="240"/>
      <c r="E10" s="114" t="s">
        <v>78</v>
      </c>
      <c r="F10" s="18">
        <v>2738</v>
      </c>
      <c r="G10" s="18">
        <v>3010</v>
      </c>
      <c r="H10" s="18">
        <v>3442</v>
      </c>
      <c r="I10" s="18">
        <v>3328</v>
      </c>
      <c r="J10" s="18">
        <v>3173</v>
      </c>
      <c r="K10" s="18">
        <v>3251</v>
      </c>
      <c r="L10" s="18">
        <v>3356</v>
      </c>
      <c r="M10" s="18">
        <v>3671</v>
      </c>
      <c r="N10" s="18">
        <v>3936</v>
      </c>
      <c r="O10" s="18">
        <v>3934</v>
      </c>
    </row>
    <row r="11" spans="1:15" ht="12.75">
      <c r="A11" s="240" t="s">
        <v>36</v>
      </c>
      <c r="B11" s="240"/>
      <c r="C11" s="240"/>
      <c r="E11" s="114" t="s">
        <v>79</v>
      </c>
      <c r="F11" s="18">
        <v>-701</v>
      </c>
      <c r="G11" s="18">
        <v>1134</v>
      </c>
      <c r="H11" s="18">
        <v>434</v>
      </c>
      <c r="I11" s="18">
        <v>294</v>
      </c>
      <c r="J11" s="18">
        <v>110</v>
      </c>
      <c r="K11" s="18">
        <v>457</v>
      </c>
      <c r="L11" s="18">
        <v>1855</v>
      </c>
      <c r="M11" s="18">
        <v>173</v>
      </c>
      <c r="N11" s="18">
        <v>-557</v>
      </c>
      <c r="O11" s="18"/>
    </row>
    <row r="12" spans="1:15" ht="12.75">
      <c r="A12" s="240" t="s">
        <v>36</v>
      </c>
      <c r="B12" s="240"/>
      <c r="C12" s="240"/>
      <c r="E12" s="114" t="s">
        <v>419</v>
      </c>
      <c r="F12" s="18">
        <v>-118</v>
      </c>
      <c r="G12" s="18">
        <v>-239</v>
      </c>
      <c r="H12" s="18">
        <v>18</v>
      </c>
      <c r="I12" s="18">
        <v>77</v>
      </c>
      <c r="J12" s="18">
        <v>-178</v>
      </c>
      <c r="K12" s="18">
        <v>81</v>
      </c>
      <c r="L12" s="18">
        <v>222</v>
      </c>
      <c r="M12" s="18">
        <v>93</v>
      </c>
      <c r="N12" s="18">
        <v>374</v>
      </c>
      <c r="O12" s="18">
        <v>337</v>
      </c>
    </row>
    <row r="13" spans="1:15" ht="12.75">
      <c r="A13" s="240" t="s">
        <v>36</v>
      </c>
      <c r="B13" s="240"/>
      <c r="C13" s="240"/>
      <c r="E13" s="114" t="s">
        <v>286</v>
      </c>
      <c r="F13" s="18">
        <v>-271</v>
      </c>
      <c r="G13" s="18">
        <v>-729</v>
      </c>
      <c r="H13" s="18">
        <v>-348</v>
      </c>
      <c r="I13" s="18">
        <v>-72</v>
      </c>
      <c r="J13" s="18">
        <v>-214</v>
      </c>
      <c r="K13" s="18">
        <v>-673</v>
      </c>
      <c r="L13" s="18">
        <v>-540</v>
      </c>
      <c r="M13" s="18">
        <v>-488</v>
      </c>
      <c r="N13" s="18">
        <v>-513</v>
      </c>
      <c r="O13" s="18">
        <v>-514</v>
      </c>
    </row>
    <row r="14" spans="1:15" ht="12.75">
      <c r="A14" s="240" t="s">
        <v>36</v>
      </c>
      <c r="B14" s="240"/>
      <c r="C14" s="240"/>
      <c r="E14" s="114" t="s">
        <v>81</v>
      </c>
      <c r="F14" s="18">
        <v>-815</v>
      </c>
      <c r="G14" s="18">
        <v>-918</v>
      </c>
      <c r="H14" s="18">
        <v>-929</v>
      </c>
      <c r="I14" s="18">
        <v>-1316</v>
      </c>
      <c r="J14" s="18">
        <v>-1625</v>
      </c>
      <c r="K14" s="18">
        <v>-1564</v>
      </c>
      <c r="L14" s="18">
        <v>-1343</v>
      </c>
      <c r="M14" s="18">
        <v>-985</v>
      </c>
      <c r="N14" s="18">
        <v>-1277</v>
      </c>
      <c r="O14" s="18">
        <v>-1194</v>
      </c>
    </row>
    <row r="15" spans="1:15" ht="12.75">
      <c r="A15" s="240" t="s">
        <v>37</v>
      </c>
      <c r="B15" s="240" t="s">
        <v>39</v>
      </c>
      <c r="C15" s="240"/>
      <c r="E15" s="129" t="s">
        <v>287</v>
      </c>
      <c r="F15" s="130">
        <f>SUM(F9:F14)</f>
        <v>5308</v>
      </c>
      <c r="G15" s="130">
        <f>SUM(G9:G14)</f>
        <v>3446</v>
      </c>
      <c r="H15" s="130">
        <f>SUM(H9:H14)</f>
        <v>6378</v>
      </c>
      <c r="I15" s="130">
        <f>SUM(I9:I14)</f>
        <v>7741</v>
      </c>
      <c r="J15" s="130">
        <f>SUM(J9:J14)</f>
        <v>4283</v>
      </c>
      <c r="K15" s="130">
        <v>5552</v>
      </c>
      <c r="L15" s="130">
        <v>5130</v>
      </c>
      <c r="M15" s="130">
        <v>6045</v>
      </c>
      <c r="N15" s="130">
        <v>4704</v>
      </c>
      <c r="O15" s="130">
        <v>8837</v>
      </c>
    </row>
    <row r="16" spans="1:15" ht="12.75">
      <c r="A16" s="240" t="s">
        <v>38</v>
      </c>
      <c r="B16" s="240"/>
      <c r="C16" s="240"/>
      <c r="E16" s="114"/>
      <c r="F16" s="18"/>
      <c r="G16" s="18"/>
      <c r="H16" s="18"/>
      <c r="I16" s="18"/>
      <c r="J16" s="18"/>
      <c r="K16" s="18"/>
      <c r="L16" s="18"/>
      <c r="M16" s="18"/>
      <c r="N16" s="18"/>
      <c r="O16" s="18"/>
    </row>
    <row r="17" spans="1:15" ht="12.75">
      <c r="A17" s="240" t="s">
        <v>35</v>
      </c>
      <c r="B17" s="240"/>
      <c r="C17" s="240"/>
      <c r="E17" s="129" t="s">
        <v>83</v>
      </c>
      <c r="F17" s="18"/>
      <c r="G17" s="18"/>
      <c r="H17" s="18"/>
      <c r="I17" s="18"/>
      <c r="J17" s="18"/>
      <c r="K17" s="18"/>
      <c r="L17" s="18"/>
      <c r="M17" s="18"/>
      <c r="N17" s="18"/>
      <c r="O17" s="18"/>
    </row>
    <row r="18" spans="1:15" ht="12.75">
      <c r="A18" s="240" t="s">
        <v>36</v>
      </c>
      <c r="B18" s="240"/>
      <c r="C18" s="240"/>
      <c r="E18" s="114" t="s">
        <v>84</v>
      </c>
      <c r="F18" s="18">
        <v>-206</v>
      </c>
      <c r="G18" s="18">
        <v>923</v>
      </c>
      <c r="H18" s="18">
        <v>2276</v>
      </c>
      <c r="I18" s="18">
        <v>-1755</v>
      </c>
      <c r="J18" s="18">
        <v>269</v>
      </c>
      <c r="K18" s="18">
        <v>-1710</v>
      </c>
      <c r="L18" s="18">
        <v>165</v>
      </c>
      <c r="M18" s="18">
        <v>-929</v>
      </c>
      <c r="N18" s="18">
        <v>-306</v>
      </c>
      <c r="O18" s="18">
        <v>1493</v>
      </c>
    </row>
    <row r="19" spans="1:15" ht="12.75">
      <c r="A19" s="240" t="s">
        <v>36</v>
      </c>
      <c r="B19" s="240"/>
      <c r="C19" s="240"/>
      <c r="D19" s="129"/>
      <c r="E19" s="114" t="s">
        <v>85</v>
      </c>
      <c r="F19" s="18">
        <v>993</v>
      </c>
      <c r="G19" s="18">
        <v>1869</v>
      </c>
      <c r="H19" s="18">
        <v>1209</v>
      </c>
      <c r="I19" s="18">
        <v>-216</v>
      </c>
      <c r="J19" s="18">
        <v>244</v>
      </c>
      <c r="K19" s="18">
        <v>-119</v>
      </c>
      <c r="L19" s="18">
        <v>-1932</v>
      </c>
      <c r="M19" s="18">
        <v>195</v>
      </c>
      <c r="N19" s="18">
        <v>1672</v>
      </c>
      <c r="O19" s="18">
        <v>-467</v>
      </c>
    </row>
    <row r="20" spans="1:15" ht="12.75">
      <c r="A20" s="240" t="s">
        <v>36</v>
      </c>
      <c r="B20" s="240"/>
      <c r="C20" s="240"/>
      <c r="D20" s="131"/>
      <c r="E20" s="114" t="s">
        <v>86</v>
      </c>
      <c r="F20" s="18">
        <v>-885</v>
      </c>
      <c r="G20" s="18">
        <v>-686</v>
      </c>
      <c r="H20" s="18">
        <v>628</v>
      </c>
      <c r="I20" s="18">
        <v>2624</v>
      </c>
      <c r="J20" s="18">
        <v>1379</v>
      </c>
      <c r="K20" s="18">
        <v>3086</v>
      </c>
      <c r="L20" s="18">
        <v>609</v>
      </c>
      <c r="M20" s="18">
        <v>3160</v>
      </c>
      <c r="N20" s="18">
        <v>1798</v>
      </c>
      <c r="O20" s="18">
        <v>72</v>
      </c>
    </row>
    <row r="21" spans="1:15" ht="12.75">
      <c r="A21" s="240" t="s">
        <v>36</v>
      </c>
      <c r="B21" s="240"/>
      <c r="C21" s="240"/>
      <c r="D21" s="131"/>
      <c r="E21" s="114" t="s">
        <v>359</v>
      </c>
      <c r="F21" s="18"/>
      <c r="G21" s="18"/>
      <c r="H21" s="18">
        <v>-3935</v>
      </c>
      <c r="I21" s="18"/>
      <c r="J21" s="18"/>
      <c r="K21" s="18"/>
      <c r="L21" s="18"/>
      <c r="M21" s="18"/>
      <c r="N21" s="18"/>
      <c r="O21" s="18"/>
    </row>
    <row r="22" spans="1:15" ht="12.75">
      <c r="A22" s="240" t="s">
        <v>36</v>
      </c>
      <c r="B22" s="240"/>
      <c r="C22" s="240"/>
      <c r="E22" s="114" t="s">
        <v>420</v>
      </c>
      <c r="F22" s="135">
        <v>-54</v>
      </c>
      <c r="G22" s="135">
        <v>-603</v>
      </c>
      <c r="H22" s="135">
        <v>1741</v>
      </c>
      <c r="I22" s="135">
        <v>-714</v>
      </c>
      <c r="J22" s="135">
        <v>-776</v>
      </c>
      <c r="K22" s="135">
        <v>271</v>
      </c>
      <c r="L22" s="135">
        <v>483</v>
      </c>
      <c r="M22" s="135">
        <v>-649</v>
      </c>
      <c r="N22" s="135">
        <v>399</v>
      </c>
      <c r="O22" s="135">
        <v>230</v>
      </c>
    </row>
    <row r="23" spans="1:15" ht="12.75">
      <c r="A23" s="240" t="s">
        <v>37</v>
      </c>
      <c r="B23" s="240" t="s">
        <v>39</v>
      </c>
      <c r="C23" s="240"/>
      <c r="E23" s="129" t="s">
        <v>87</v>
      </c>
      <c r="F23" s="130">
        <f>SUM(F18:F22)</f>
        <v>-152</v>
      </c>
      <c r="G23" s="130">
        <f>SUM(G18:G22)</f>
        <v>1503</v>
      </c>
      <c r="H23" s="130">
        <f>SUM(H18:H22)</f>
        <v>1919</v>
      </c>
      <c r="I23" s="130">
        <f>SUM(I18:I22)</f>
        <v>-61</v>
      </c>
      <c r="J23" s="130">
        <f>SUM(J18:J22)</f>
        <v>1116</v>
      </c>
      <c r="K23" s="130">
        <v>1528</v>
      </c>
      <c r="L23" s="130">
        <v>-675</v>
      </c>
      <c r="M23" s="130">
        <v>1777</v>
      </c>
      <c r="N23" s="130">
        <v>3563</v>
      </c>
      <c r="O23" s="130">
        <v>1328</v>
      </c>
    </row>
    <row r="24" spans="1:15" ht="12.75">
      <c r="A24" s="240" t="s">
        <v>37</v>
      </c>
      <c r="B24" s="255" t="s">
        <v>285</v>
      </c>
      <c r="C24" s="240"/>
      <c r="E24" s="129" t="s">
        <v>88</v>
      </c>
      <c r="F24" s="130">
        <f>+F23+F15</f>
        <v>5156</v>
      </c>
      <c r="G24" s="130">
        <f>+G23+G15</f>
        <v>4949</v>
      </c>
      <c r="H24" s="130">
        <f>+H23+H15</f>
        <v>8297</v>
      </c>
      <c r="I24" s="130">
        <f>+I23+I15</f>
        <v>7680</v>
      </c>
      <c r="J24" s="130">
        <f>+J23+J15</f>
        <v>5399</v>
      </c>
      <c r="K24" s="130">
        <v>7080</v>
      </c>
      <c r="L24" s="130">
        <v>4455</v>
      </c>
      <c r="M24" s="130">
        <v>7822</v>
      </c>
      <c r="N24" s="130">
        <v>8267</v>
      </c>
      <c r="O24" s="130">
        <v>10165</v>
      </c>
    </row>
    <row r="25" spans="1:15" ht="12.75">
      <c r="A25" s="240" t="s">
        <v>38</v>
      </c>
      <c r="B25" s="240"/>
      <c r="C25" s="240"/>
      <c r="E25" s="129"/>
      <c r="F25" s="18"/>
      <c r="G25" s="18"/>
      <c r="H25" s="18"/>
      <c r="I25" s="18"/>
      <c r="J25" s="18"/>
      <c r="K25" s="18"/>
      <c r="L25" s="18"/>
      <c r="M25" s="18"/>
      <c r="N25" s="18"/>
      <c r="O25" s="18"/>
    </row>
    <row r="26" spans="1:15" ht="12.75">
      <c r="A26" s="240" t="s">
        <v>35</v>
      </c>
      <c r="B26" s="240"/>
      <c r="C26" s="240"/>
      <c r="E26" s="129" t="s">
        <v>89</v>
      </c>
      <c r="F26" s="18"/>
      <c r="G26" s="18"/>
      <c r="H26" s="18"/>
      <c r="I26" s="18"/>
      <c r="J26" s="18"/>
      <c r="K26" s="18"/>
      <c r="L26" s="18"/>
      <c r="M26" s="18"/>
      <c r="N26" s="18"/>
      <c r="O26" s="18"/>
    </row>
    <row r="27" spans="1:15" ht="12.75">
      <c r="A27" s="240" t="s">
        <v>36</v>
      </c>
      <c r="B27" s="240"/>
      <c r="C27" s="240"/>
      <c r="E27" s="76" t="s">
        <v>399</v>
      </c>
      <c r="F27" s="18"/>
      <c r="G27" s="18"/>
      <c r="H27" s="18"/>
      <c r="I27" s="18"/>
      <c r="J27" s="18">
        <v>-6377</v>
      </c>
      <c r="K27" s="18">
        <v>-164</v>
      </c>
      <c r="L27" s="18">
        <v>-205</v>
      </c>
      <c r="M27" s="18">
        <v>-69</v>
      </c>
      <c r="N27" s="18">
        <v>-91</v>
      </c>
      <c r="O27" s="18">
        <v>-160</v>
      </c>
    </row>
    <row r="28" spans="1:15" ht="12.75">
      <c r="A28" s="240" t="s">
        <v>36</v>
      </c>
      <c r="B28" s="240"/>
      <c r="C28" s="240"/>
      <c r="D28" s="129"/>
      <c r="E28" s="76" t="s">
        <v>90</v>
      </c>
      <c r="F28" s="18">
        <v>0</v>
      </c>
      <c r="G28" s="18">
        <v>-34</v>
      </c>
      <c r="H28" s="18">
        <v>4</v>
      </c>
      <c r="I28" s="18">
        <v>7</v>
      </c>
      <c r="J28" s="18">
        <v>821</v>
      </c>
      <c r="K28" s="18">
        <v>0</v>
      </c>
      <c r="L28" s="18">
        <v>0</v>
      </c>
      <c r="M28" s="18"/>
      <c r="N28" s="18"/>
      <c r="O28" s="18">
        <v>336</v>
      </c>
    </row>
    <row r="29" spans="1:15" ht="12.75">
      <c r="A29" s="240" t="s">
        <v>36</v>
      </c>
      <c r="B29" s="240"/>
      <c r="C29" s="240"/>
      <c r="D29" s="129"/>
      <c r="E29" s="76" t="s">
        <v>91</v>
      </c>
      <c r="F29" s="18">
        <v>-3430</v>
      </c>
      <c r="G29" s="18">
        <v>-3158</v>
      </c>
      <c r="H29" s="18">
        <v>-2223</v>
      </c>
      <c r="I29" s="18">
        <v>-3221</v>
      </c>
      <c r="J29" s="18">
        <v>-3163</v>
      </c>
      <c r="K29" s="18">
        <v>-4090</v>
      </c>
      <c r="L29" s="18">
        <v>-3535</v>
      </c>
      <c r="M29" s="18">
        <v>-3006</v>
      </c>
      <c r="N29" s="18">
        <v>-3027</v>
      </c>
      <c r="O29" s="18">
        <v>-2830</v>
      </c>
    </row>
    <row r="30" spans="1:15" ht="12.75">
      <c r="A30" s="240" t="s">
        <v>36</v>
      </c>
      <c r="B30" s="240"/>
      <c r="C30" s="240"/>
      <c r="D30" s="129"/>
      <c r="E30" s="76" t="s">
        <v>92</v>
      </c>
      <c r="F30" s="18">
        <v>-520</v>
      </c>
      <c r="G30" s="18">
        <v>-544</v>
      </c>
      <c r="H30" s="18">
        <v>-370</v>
      </c>
      <c r="I30" s="18">
        <v>-396</v>
      </c>
      <c r="J30" s="18">
        <v>-374</v>
      </c>
      <c r="K30" s="18">
        <v>-477</v>
      </c>
      <c r="L30" s="18">
        <v>-442</v>
      </c>
      <c r="M30" s="18">
        <v>-355</v>
      </c>
      <c r="N30" s="18">
        <v>-359</v>
      </c>
      <c r="O30" s="18">
        <v>-274</v>
      </c>
    </row>
    <row r="31" spans="1:15" ht="12.75">
      <c r="A31" s="240" t="s">
        <v>36</v>
      </c>
      <c r="B31" s="240"/>
      <c r="C31" s="240"/>
      <c r="D31" s="129"/>
      <c r="E31" s="76" t="s">
        <v>402</v>
      </c>
      <c r="F31" s="18"/>
      <c r="G31" s="18"/>
      <c r="H31" s="18"/>
      <c r="I31" s="18"/>
      <c r="J31" s="18">
        <v>-744</v>
      </c>
      <c r="K31" s="18">
        <v>-574</v>
      </c>
      <c r="L31" s="18">
        <v>-514</v>
      </c>
      <c r="M31" s="18">
        <v>-290</v>
      </c>
      <c r="N31" s="18">
        <v>-254</v>
      </c>
      <c r="O31" s="18">
        <v>-286</v>
      </c>
    </row>
    <row r="32" spans="1:15" ht="12.75">
      <c r="A32" s="240" t="s">
        <v>36</v>
      </c>
      <c r="B32" s="240"/>
      <c r="C32" s="240"/>
      <c r="D32" s="129"/>
      <c r="E32" s="76" t="s">
        <v>93</v>
      </c>
      <c r="F32" s="18">
        <v>71</v>
      </c>
      <c r="G32" s="18">
        <v>-19</v>
      </c>
      <c r="H32" s="18">
        <v>-378</v>
      </c>
      <c r="I32" s="18">
        <v>-864</v>
      </c>
      <c r="J32" s="18">
        <v>-212</v>
      </c>
      <c r="K32" s="18">
        <v>603</v>
      </c>
      <c r="L32" s="18">
        <v>-38</v>
      </c>
      <c r="M32" s="18">
        <v>-39</v>
      </c>
      <c r="N32" s="18">
        <v>328</v>
      </c>
      <c r="O32" s="18">
        <v>657</v>
      </c>
    </row>
    <row r="33" spans="1:15" s="90" customFormat="1" ht="12.75">
      <c r="A33" s="240" t="s">
        <v>37</v>
      </c>
      <c r="B33" s="240" t="s">
        <v>39</v>
      </c>
      <c r="C33" s="240"/>
      <c r="D33" s="131"/>
      <c r="E33" s="134" t="s">
        <v>94</v>
      </c>
      <c r="F33" s="130">
        <f>SUM(F27:F32)</f>
        <v>-3879</v>
      </c>
      <c r="G33" s="130">
        <f>SUM(G27:G32)</f>
        <v>-3755</v>
      </c>
      <c r="H33" s="130">
        <f>SUM(H27:H32)</f>
        <v>-2967</v>
      </c>
      <c r="I33" s="130">
        <f>SUM(I27:I32)</f>
        <v>-4474</v>
      </c>
      <c r="J33" s="130">
        <f>SUM(J27:J32)</f>
        <v>-10049</v>
      </c>
      <c r="K33" s="130">
        <v>-4702</v>
      </c>
      <c r="L33" s="130">
        <v>-4734</v>
      </c>
      <c r="M33" s="130">
        <v>-3759</v>
      </c>
      <c r="N33" s="130">
        <v>-3403</v>
      </c>
      <c r="O33" s="130">
        <v>-2557</v>
      </c>
    </row>
    <row r="34" spans="1:15" ht="12.75">
      <c r="A34" s="243" t="s">
        <v>37</v>
      </c>
      <c r="B34" s="240" t="s">
        <v>39</v>
      </c>
      <c r="C34" s="240"/>
      <c r="D34" s="129"/>
      <c r="E34" s="129" t="s">
        <v>95</v>
      </c>
      <c r="F34" s="130">
        <f>+F24+F33</f>
        <v>1277</v>
      </c>
      <c r="G34" s="130">
        <f>+G24+G33</f>
        <v>1194</v>
      </c>
      <c r="H34" s="130">
        <f>+H24+H33</f>
        <v>5330</v>
      </c>
      <c r="I34" s="130">
        <f>+I24+I33</f>
        <v>3206</v>
      </c>
      <c r="J34" s="130">
        <f>+J24+J33</f>
        <v>-4650</v>
      </c>
      <c r="K34" s="130">
        <v>2378</v>
      </c>
      <c r="L34" s="130">
        <v>-279</v>
      </c>
      <c r="M34" s="130">
        <v>4063</v>
      </c>
      <c r="N34" s="130">
        <v>4864</v>
      </c>
      <c r="O34" s="130">
        <v>7608</v>
      </c>
    </row>
    <row r="35" spans="1:15" ht="12.75">
      <c r="A35" s="240" t="s">
        <v>38</v>
      </c>
      <c r="B35" s="240"/>
      <c r="C35" s="240"/>
      <c r="D35" s="76"/>
      <c r="E35" s="114"/>
      <c r="O35" s="17"/>
    </row>
    <row r="36" spans="1:15" ht="12.75">
      <c r="A36" s="240" t="s">
        <v>35</v>
      </c>
      <c r="B36" s="240"/>
      <c r="C36" s="240"/>
      <c r="D36" s="76"/>
      <c r="E36" s="90" t="s">
        <v>96</v>
      </c>
      <c r="O36" s="17"/>
    </row>
    <row r="37" spans="1:15" ht="12.75">
      <c r="A37" s="240" t="s">
        <v>36</v>
      </c>
      <c r="B37" s="240"/>
      <c r="C37" s="240"/>
      <c r="D37" s="76"/>
      <c r="E37" s="158" t="s">
        <v>97</v>
      </c>
      <c r="F37" s="120">
        <v>1463</v>
      </c>
      <c r="G37" s="120">
        <v>-128</v>
      </c>
      <c r="H37" s="120">
        <v>-2734</v>
      </c>
      <c r="I37" s="120">
        <v>1306</v>
      </c>
      <c r="J37" s="120">
        <v>1444</v>
      </c>
      <c r="K37" s="120">
        <v>206</v>
      </c>
      <c r="L37" s="120">
        <v>-25</v>
      </c>
      <c r="M37" s="120">
        <v>49</v>
      </c>
      <c r="N37" s="120">
        <v>-9</v>
      </c>
      <c r="O37" s="120">
        <v>-799</v>
      </c>
    </row>
    <row r="38" spans="1:15" ht="12.75">
      <c r="A38" s="240" t="s">
        <v>36</v>
      </c>
      <c r="B38" s="240"/>
      <c r="C38" s="240"/>
      <c r="D38" s="76"/>
      <c r="E38" s="114" t="s">
        <v>98</v>
      </c>
      <c r="F38" s="120">
        <v>670</v>
      </c>
      <c r="G38" s="120">
        <v>-681</v>
      </c>
      <c r="H38" s="120">
        <v>-1131</v>
      </c>
      <c r="I38" s="120">
        <v>-1768</v>
      </c>
      <c r="J38" s="120">
        <v>-619</v>
      </c>
      <c r="K38" s="120">
        <v>-325</v>
      </c>
      <c r="L38" s="120">
        <v>1151</v>
      </c>
      <c r="M38" s="120">
        <v>367</v>
      </c>
      <c r="N38" s="120">
        <v>84</v>
      </c>
      <c r="O38" s="120">
        <v>-31</v>
      </c>
    </row>
    <row r="39" spans="1:15" ht="12.75">
      <c r="A39" s="240" t="s">
        <v>36</v>
      </c>
      <c r="B39" s="240"/>
      <c r="C39" s="240"/>
      <c r="D39" s="76"/>
      <c r="E39" s="139" t="s">
        <v>99</v>
      </c>
      <c r="F39" s="120">
        <v>3257</v>
      </c>
      <c r="G39" s="120">
        <v>5289</v>
      </c>
      <c r="H39" s="120">
        <v>1639</v>
      </c>
      <c r="I39" s="120">
        <v>380</v>
      </c>
      <c r="J39" s="120">
        <v>3503</v>
      </c>
      <c r="K39" s="120">
        <v>2569</v>
      </c>
      <c r="L39" s="120">
        <v>3039</v>
      </c>
      <c r="M39" s="120">
        <v>1952</v>
      </c>
      <c r="N39" s="120">
        <v>1447</v>
      </c>
      <c r="O39" s="120">
        <v>0</v>
      </c>
    </row>
    <row r="40" spans="1:15" ht="12.75">
      <c r="A40" s="240" t="s">
        <v>36</v>
      </c>
      <c r="B40" s="240"/>
      <c r="C40" s="240"/>
      <c r="E40" s="93" t="s">
        <v>100</v>
      </c>
      <c r="F40" s="120">
        <v>0</v>
      </c>
      <c r="G40" s="120">
        <v>-2923</v>
      </c>
      <c r="H40" s="120">
        <v>-1040</v>
      </c>
      <c r="I40" s="120">
        <v>-1039</v>
      </c>
      <c r="J40" s="120">
        <v>-1161</v>
      </c>
      <c r="K40" s="120">
        <v>-3063</v>
      </c>
      <c r="L40" s="120">
        <v>-1851</v>
      </c>
      <c r="M40" s="120">
        <v>-2254</v>
      </c>
      <c r="N40" s="120">
        <v>-2632</v>
      </c>
      <c r="O40" s="120">
        <v>-2669</v>
      </c>
    </row>
    <row r="41" spans="1:15" ht="12.75">
      <c r="A41" s="240" t="s">
        <v>36</v>
      </c>
      <c r="B41" s="240"/>
      <c r="C41" s="240"/>
      <c r="E41" s="93" t="s">
        <v>101</v>
      </c>
      <c r="F41" s="120">
        <v>-1126</v>
      </c>
      <c r="G41" s="120">
        <v>-1204</v>
      </c>
      <c r="H41" s="120">
        <v>0</v>
      </c>
      <c r="I41" s="120">
        <v>-1138</v>
      </c>
      <c r="J41" s="120">
        <v>-1850</v>
      </c>
      <c r="K41" s="120">
        <v>-1868</v>
      </c>
      <c r="L41" s="120">
        <v>-1860</v>
      </c>
      <c r="M41" s="120">
        <v>-1861</v>
      </c>
      <c r="N41" s="120">
        <v>-1870</v>
      </c>
      <c r="O41" s="120">
        <v>-1868</v>
      </c>
    </row>
    <row r="42" spans="1:15" ht="12.75">
      <c r="A42" s="240" t="s">
        <v>36</v>
      </c>
      <c r="B42" s="240"/>
      <c r="C42" s="240"/>
      <c r="E42" s="93" t="s">
        <v>102</v>
      </c>
      <c r="F42" s="120">
        <v>-5582</v>
      </c>
      <c r="G42" s="120">
        <v>17</v>
      </c>
      <c r="H42" s="120">
        <v>69</v>
      </c>
      <c r="I42" s="120">
        <v>18</v>
      </c>
      <c r="J42" s="120">
        <v>0</v>
      </c>
      <c r="K42" s="120">
        <v>212</v>
      </c>
      <c r="L42" s="120">
        <v>0</v>
      </c>
      <c r="M42" s="120">
        <v>0</v>
      </c>
      <c r="N42" s="120">
        <v>0</v>
      </c>
      <c r="O42" s="120">
        <v>0</v>
      </c>
    </row>
    <row r="43" spans="1:15" ht="12.75">
      <c r="A43" s="240" t="s">
        <v>36</v>
      </c>
      <c r="B43" s="240"/>
      <c r="C43" s="240"/>
      <c r="E43" s="49" t="s">
        <v>470</v>
      </c>
      <c r="F43" s="120"/>
      <c r="G43" s="120"/>
      <c r="H43" s="120"/>
      <c r="I43" s="120"/>
      <c r="J43" s="120"/>
      <c r="K43" s="120"/>
      <c r="L43" s="120"/>
      <c r="M43" s="120"/>
      <c r="N43" s="120"/>
      <c r="O43" s="120">
        <v>-57</v>
      </c>
    </row>
    <row r="44" spans="1:15" s="90" customFormat="1" ht="12.75">
      <c r="A44" s="240" t="s">
        <v>36</v>
      </c>
      <c r="B44" s="240"/>
      <c r="C44" s="240"/>
      <c r="D44" s="114"/>
      <c r="E44" s="93" t="s">
        <v>108</v>
      </c>
      <c r="F44" s="120">
        <v>127</v>
      </c>
      <c r="G44" s="120">
        <v>0</v>
      </c>
      <c r="H44" s="120">
        <v>0</v>
      </c>
      <c r="I44" s="120">
        <v>0</v>
      </c>
      <c r="J44" s="120">
        <v>0</v>
      </c>
      <c r="K44" s="120">
        <v>0</v>
      </c>
      <c r="L44" s="120">
        <v>0</v>
      </c>
      <c r="M44" s="120">
        <v>0</v>
      </c>
      <c r="N44" s="120">
        <v>0</v>
      </c>
      <c r="O44" s="120">
        <v>0</v>
      </c>
    </row>
    <row r="45" spans="1:15" ht="12.75">
      <c r="A45" s="240" t="s">
        <v>37</v>
      </c>
      <c r="B45" s="240" t="s">
        <v>39</v>
      </c>
      <c r="C45" s="240"/>
      <c r="D45" s="129"/>
      <c r="E45" s="159" t="s">
        <v>103</v>
      </c>
      <c r="F45" s="130">
        <f>SUM(F37:F44)</f>
        <v>-1191</v>
      </c>
      <c r="G45" s="130">
        <f>SUM(G37:G44)</f>
        <v>370</v>
      </c>
      <c r="H45" s="130">
        <f>SUM(H37:H44)</f>
        <v>-3197</v>
      </c>
      <c r="I45" s="130">
        <f>SUM(I37:I44)</f>
        <v>-2241</v>
      </c>
      <c r="J45" s="130">
        <f>SUM(J37:J44)</f>
        <v>1317</v>
      </c>
      <c r="K45" s="130">
        <v>-2269</v>
      </c>
      <c r="L45" s="130">
        <v>454</v>
      </c>
      <c r="M45" s="130">
        <v>-1747</v>
      </c>
      <c r="N45" s="130">
        <v>-2980</v>
      </c>
      <c r="O45" s="130">
        <v>-5424</v>
      </c>
    </row>
    <row r="46" spans="1:15" s="90" customFormat="1" ht="12.75">
      <c r="A46" s="240" t="s">
        <v>38</v>
      </c>
      <c r="B46" s="240"/>
      <c r="C46" s="240"/>
      <c r="D46" s="114"/>
      <c r="E46" s="93"/>
      <c r="F46" s="120"/>
      <c r="G46" s="120"/>
      <c r="H46" s="120"/>
      <c r="I46" s="120"/>
      <c r="J46" s="120"/>
      <c r="K46" s="120"/>
      <c r="L46" s="120"/>
      <c r="M46" s="120"/>
      <c r="N46" s="120"/>
      <c r="O46" s="120"/>
    </row>
    <row r="47" spans="1:15" s="90" customFormat="1" ht="12.75">
      <c r="A47" s="243" t="s">
        <v>37</v>
      </c>
      <c r="B47" s="240" t="s">
        <v>39</v>
      </c>
      <c r="C47" s="240"/>
      <c r="D47" s="129"/>
      <c r="E47" s="159" t="s">
        <v>104</v>
      </c>
      <c r="F47" s="130">
        <f>+F34+F45</f>
        <v>86</v>
      </c>
      <c r="G47" s="130">
        <f>+G34+G45</f>
        <v>1564</v>
      </c>
      <c r="H47" s="130">
        <f>+H34+H45</f>
        <v>2133</v>
      </c>
      <c r="I47" s="130">
        <f>+I34+I45</f>
        <v>965</v>
      </c>
      <c r="J47" s="130">
        <f>+J34+J45</f>
        <v>-3333</v>
      </c>
      <c r="K47" s="130">
        <v>109</v>
      </c>
      <c r="L47" s="130">
        <v>175</v>
      </c>
      <c r="M47" s="130">
        <v>2316</v>
      </c>
      <c r="N47" s="130">
        <v>1884</v>
      </c>
      <c r="O47" s="130">
        <v>2184</v>
      </c>
    </row>
    <row r="48" spans="1:15" s="40" customFormat="1" ht="12.75">
      <c r="A48" s="240" t="s">
        <v>36</v>
      </c>
      <c r="B48" s="240"/>
      <c r="C48" s="240"/>
      <c r="D48" s="163"/>
      <c r="E48" s="49" t="s">
        <v>105</v>
      </c>
      <c r="F48" s="43">
        <v>5475</v>
      </c>
      <c r="G48" s="43">
        <v>5546</v>
      </c>
      <c r="H48" s="43">
        <v>7305</v>
      </c>
      <c r="I48" s="43">
        <v>9537</v>
      </c>
      <c r="J48" s="43">
        <v>10389</v>
      </c>
      <c r="K48" s="43">
        <v>6966</v>
      </c>
      <c r="L48" s="43">
        <v>6835</v>
      </c>
      <c r="M48" s="43">
        <v>6607</v>
      </c>
      <c r="N48" s="43">
        <v>9107</v>
      </c>
      <c r="O48" s="43">
        <v>10696</v>
      </c>
    </row>
    <row r="49" spans="1:15" ht="12.75">
      <c r="A49" s="240" t="s">
        <v>36</v>
      </c>
      <c r="B49" s="240"/>
      <c r="C49" s="240"/>
      <c r="E49" s="93" t="s">
        <v>106</v>
      </c>
      <c r="F49" s="120">
        <v>-15</v>
      </c>
      <c r="G49" s="120">
        <v>195</v>
      </c>
      <c r="H49" s="120">
        <v>99</v>
      </c>
      <c r="I49" s="120">
        <v>-113</v>
      </c>
      <c r="J49" s="120">
        <v>-90</v>
      </c>
      <c r="K49" s="120">
        <v>-240</v>
      </c>
      <c r="L49" s="120">
        <v>-403</v>
      </c>
      <c r="M49" s="120">
        <v>184</v>
      </c>
      <c r="N49" s="120">
        <v>-295</v>
      </c>
      <c r="O49" s="120">
        <v>-124</v>
      </c>
    </row>
    <row r="50" spans="1:15" ht="12.75">
      <c r="A50" s="240" t="s">
        <v>37</v>
      </c>
      <c r="B50" s="240"/>
      <c r="C50" s="240"/>
      <c r="E50" s="119" t="s">
        <v>107</v>
      </c>
      <c r="F50" s="130">
        <f>SUM(F47:F49)</f>
        <v>5546</v>
      </c>
      <c r="G50" s="130">
        <f>SUM(G47:G49)</f>
        <v>7305</v>
      </c>
      <c r="H50" s="130">
        <v>9537</v>
      </c>
      <c r="I50" s="130">
        <v>10389</v>
      </c>
      <c r="J50" s="130">
        <v>6966</v>
      </c>
      <c r="K50" s="130">
        <v>6835</v>
      </c>
      <c r="L50" s="130">
        <v>6607</v>
      </c>
      <c r="M50" s="130">
        <v>9107</v>
      </c>
      <c r="N50" s="130">
        <v>10696</v>
      </c>
      <c r="O50" s="130">
        <v>12756</v>
      </c>
    </row>
  </sheetData>
  <sheetProtection/>
  <printOptions/>
  <pageMargins left="0.75" right="0.75" top="0.66" bottom="0.66" header="0.5" footer="0.5"/>
  <pageSetup fitToHeight="1" fitToWidth="1" horizontalDpi="600" verticalDpi="600" orientation="portrait" paperSize="9" scale="37" r:id="rId1"/>
</worksheet>
</file>

<file path=xl/worksheets/sheet18.xml><?xml version="1.0" encoding="utf-8"?>
<worksheet xmlns="http://schemas.openxmlformats.org/spreadsheetml/2006/main" xmlns:r="http://schemas.openxmlformats.org/officeDocument/2006/relationships">
  <dimension ref="A1:P68"/>
  <sheetViews>
    <sheetView zoomScaleSheetLayoutView="90" zoomScalePageLayoutView="0" workbookViewId="0" topLeftCell="A49">
      <selection activeCell="A1" sqref="A1"/>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55.421875" style="40" customWidth="1"/>
    <col min="6" max="9" width="11.00390625" style="40" customWidth="1"/>
    <col min="10" max="10" width="9.140625" style="40" customWidth="1"/>
    <col min="11"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42004</v>
      </c>
    </row>
    <row r="3" spans="1:5" ht="12.75">
      <c r="A3" s="250"/>
      <c r="B3" s="97" t="s">
        <v>144</v>
      </c>
      <c r="C3" s="98" t="s">
        <v>145</v>
      </c>
      <c r="D3" s="102" t="s">
        <v>146</v>
      </c>
      <c r="E3" s="102" t="s">
        <v>147</v>
      </c>
    </row>
    <row r="4" spans="1:10" ht="12.75">
      <c r="A4" s="240" t="s">
        <v>34</v>
      </c>
      <c r="B4" s="97" t="s">
        <v>148</v>
      </c>
      <c r="D4" s="34" t="s">
        <v>365</v>
      </c>
      <c r="E4" s="90" t="s">
        <v>370</v>
      </c>
      <c r="F4" s="34"/>
      <c r="J4" s="121"/>
    </row>
    <row r="5" spans="2:14" ht="12.75">
      <c r="B5" s="97" t="s">
        <v>150</v>
      </c>
      <c r="C5" s="103" t="s">
        <v>284</v>
      </c>
      <c r="E5" s="181"/>
      <c r="F5" s="34"/>
      <c r="J5" s="121"/>
      <c r="K5" s="172"/>
      <c r="L5" s="172"/>
      <c r="M5" s="172"/>
      <c r="N5" s="172"/>
    </row>
    <row r="6" spans="1:16" s="41" customFormat="1" ht="12.75">
      <c r="A6" s="245" t="s">
        <v>35</v>
      </c>
      <c r="B6" s="113" t="s">
        <v>149</v>
      </c>
      <c r="C6" s="103" t="s">
        <v>284</v>
      </c>
      <c r="D6" s="103"/>
      <c r="E6" s="126"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35</v>
      </c>
      <c r="B8" s="240"/>
      <c r="C8" s="240"/>
      <c r="E8" s="119" t="s">
        <v>380</v>
      </c>
      <c r="F8" s="119"/>
      <c r="G8" s="1"/>
      <c r="H8" s="1"/>
      <c r="I8" s="1"/>
      <c r="J8" s="1"/>
      <c r="K8" s="1"/>
      <c r="L8" s="1"/>
      <c r="M8" s="1"/>
      <c r="N8" s="1"/>
      <c r="O8" s="1"/>
      <c r="P8" s="1"/>
    </row>
    <row r="9" spans="1:16" ht="12.75">
      <c r="A9" s="240" t="s">
        <v>36</v>
      </c>
      <c r="B9" s="240"/>
      <c r="C9" s="240"/>
      <c r="E9" s="49" t="s">
        <v>10</v>
      </c>
      <c r="F9" s="9">
        <v>42965</v>
      </c>
      <c r="G9" s="9">
        <v>44015</v>
      </c>
      <c r="H9" s="9">
        <v>42952</v>
      </c>
      <c r="I9" s="9">
        <v>40500</v>
      </c>
      <c r="J9" s="9">
        <v>36596</v>
      </c>
      <c r="K9" s="9">
        <v>34029</v>
      </c>
      <c r="L9" s="9">
        <v>34278</v>
      </c>
      <c r="M9" s="9">
        <v>33436</v>
      </c>
      <c r="N9" s="9">
        <v>34438</v>
      </c>
      <c r="O9" s="9">
        <v>37179</v>
      </c>
      <c r="P9" s="9">
        <v>37844</v>
      </c>
    </row>
    <row r="10" spans="1:16" ht="12.75">
      <c r="A10" s="240" t="s">
        <v>36</v>
      </c>
      <c r="B10" s="240"/>
      <c r="C10" s="240" t="s">
        <v>530</v>
      </c>
      <c r="E10" s="49" t="s">
        <v>542</v>
      </c>
      <c r="F10" s="9"/>
      <c r="G10" s="9"/>
      <c r="H10" s="9"/>
      <c r="I10" s="9"/>
      <c r="J10" s="9"/>
      <c r="K10" s="9"/>
      <c r="L10" s="9"/>
      <c r="M10" s="9"/>
      <c r="N10" s="10">
        <v>-0.2</v>
      </c>
      <c r="O10" s="10">
        <v>4.4</v>
      </c>
      <c r="P10" s="10">
        <v>3.5</v>
      </c>
    </row>
    <row r="11" spans="1:16" ht="12.75">
      <c r="A11" s="240" t="s">
        <v>36</v>
      </c>
      <c r="B11" s="240"/>
      <c r="C11" s="240"/>
      <c r="E11" s="49" t="s">
        <v>17</v>
      </c>
      <c r="F11" s="9">
        <v>2575</v>
      </c>
      <c r="G11" s="9">
        <v>1861</v>
      </c>
      <c r="H11" s="9">
        <v>-303</v>
      </c>
      <c r="I11" s="9">
        <v>1912</v>
      </c>
      <c r="J11" s="9">
        <v>2297</v>
      </c>
      <c r="K11" s="9">
        <v>675</v>
      </c>
      <c r="L11" s="9">
        <v>178</v>
      </c>
      <c r="M11" s="9">
        <v>-481</v>
      </c>
      <c r="N11" s="9">
        <v>232</v>
      </c>
      <c r="O11" s="9">
        <v>2167</v>
      </c>
      <c r="P11" s="9">
        <v>2546</v>
      </c>
    </row>
    <row r="12" spans="1:16" ht="12.75">
      <c r="A12" s="240" t="s">
        <v>36</v>
      </c>
      <c r="B12" s="240" t="s">
        <v>39</v>
      </c>
      <c r="C12" s="240" t="s">
        <v>530</v>
      </c>
      <c r="E12" s="49" t="s">
        <v>597</v>
      </c>
      <c r="F12" s="10">
        <v>5.99325032002793</v>
      </c>
      <c r="G12" s="10">
        <v>4.228104055435647</v>
      </c>
      <c r="H12" s="10">
        <v>-0.7054386291674427</v>
      </c>
      <c r="I12" s="10">
        <v>4.720987654320988</v>
      </c>
      <c r="J12" s="10">
        <v>6.27664225598426</v>
      </c>
      <c r="K12" s="10">
        <v>1.9836022216344882</v>
      </c>
      <c r="L12" s="10">
        <v>0.5192835054553941</v>
      </c>
      <c r="M12" s="10">
        <v>-1.4385692068429239</v>
      </c>
      <c r="N12" s="10">
        <v>0.6736744294093734</v>
      </c>
      <c r="O12" s="10">
        <v>5.828559132843809</v>
      </c>
      <c r="P12" s="10">
        <v>6.727618644963535</v>
      </c>
    </row>
    <row r="13" spans="1:16" ht="12.75">
      <c r="A13" s="240" t="s">
        <v>38</v>
      </c>
      <c r="B13" s="240"/>
      <c r="C13" s="240"/>
      <c r="E13" s="49"/>
      <c r="F13" s="9"/>
      <c r="G13" s="9"/>
      <c r="H13" s="9"/>
      <c r="I13" s="9"/>
      <c r="J13" s="9"/>
      <c r="K13" s="9"/>
      <c r="L13" s="9"/>
      <c r="M13" s="9"/>
      <c r="N13" s="9"/>
      <c r="O13" s="9"/>
      <c r="P13" s="9"/>
    </row>
    <row r="14" spans="1:16" ht="12.75">
      <c r="A14" s="240" t="s">
        <v>35</v>
      </c>
      <c r="B14" s="240"/>
      <c r="C14" s="240"/>
      <c r="E14" s="119" t="s">
        <v>381</v>
      </c>
      <c r="F14" s="1"/>
      <c r="G14" s="1"/>
      <c r="H14" s="1"/>
      <c r="I14" s="1"/>
      <c r="J14" s="1"/>
      <c r="K14" s="1"/>
      <c r="L14" s="1"/>
      <c r="M14" s="1"/>
      <c r="N14" s="1"/>
      <c r="O14" s="1"/>
      <c r="P14" s="1"/>
    </row>
    <row r="15" spans="1:16" ht="12.75">
      <c r="A15" s="240" t="s">
        <v>36</v>
      </c>
      <c r="B15" s="240"/>
      <c r="C15" s="240"/>
      <c r="E15" s="49" t="s">
        <v>10</v>
      </c>
      <c r="F15" s="9">
        <v>32694</v>
      </c>
      <c r="G15" s="9">
        <v>30412</v>
      </c>
      <c r="H15" s="9">
        <v>29836</v>
      </c>
      <c r="I15" s="9">
        <v>32694</v>
      </c>
      <c r="J15" s="9">
        <v>30969</v>
      </c>
      <c r="K15" s="9">
        <v>27665</v>
      </c>
      <c r="L15" s="9">
        <v>30684</v>
      </c>
      <c r="M15" s="9">
        <v>31864</v>
      </c>
      <c r="N15" s="9">
        <v>34141</v>
      </c>
      <c r="O15" s="9">
        <v>43053</v>
      </c>
      <c r="P15" s="9">
        <v>43402</v>
      </c>
    </row>
    <row r="16" spans="1:16" ht="12.75">
      <c r="A16" s="240" t="s">
        <v>36</v>
      </c>
      <c r="B16" s="240"/>
      <c r="C16" s="240" t="s">
        <v>530</v>
      </c>
      <c r="E16" s="49" t="s">
        <v>542</v>
      </c>
      <c r="F16" s="9"/>
      <c r="G16" s="9"/>
      <c r="H16" s="9"/>
      <c r="I16" s="9"/>
      <c r="J16" s="9"/>
      <c r="K16" s="9"/>
      <c r="L16" s="9"/>
      <c r="M16" s="9"/>
      <c r="N16" s="10">
        <v>2.9</v>
      </c>
      <c r="O16" s="10">
        <v>4.9</v>
      </c>
      <c r="P16" s="10">
        <v>-0.9</v>
      </c>
    </row>
    <row r="17" spans="1:16" ht="12.75">
      <c r="A17" s="240" t="s">
        <v>36</v>
      </c>
      <c r="B17" s="240"/>
      <c r="C17" s="240"/>
      <c r="E17" s="49" t="s">
        <v>17</v>
      </c>
      <c r="F17" s="9">
        <v>1283</v>
      </c>
      <c r="G17" s="9">
        <v>1489</v>
      </c>
      <c r="H17" s="9">
        <v>85</v>
      </c>
      <c r="I17" s="9">
        <v>1299</v>
      </c>
      <c r="J17" s="9">
        <v>1442</v>
      </c>
      <c r="K17" s="9">
        <v>146</v>
      </c>
      <c r="L17" s="9">
        <v>1347</v>
      </c>
      <c r="M17" s="9">
        <v>2136</v>
      </c>
      <c r="N17" s="9">
        <v>1714</v>
      </c>
      <c r="O17" s="9">
        <v>1580</v>
      </c>
      <c r="P17" s="9">
        <v>2671</v>
      </c>
    </row>
    <row r="18" spans="1:16" ht="12.75">
      <c r="A18" s="240" t="s">
        <v>36</v>
      </c>
      <c r="B18" s="240" t="s">
        <v>39</v>
      </c>
      <c r="C18" s="240" t="s">
        <v>530</v>
      </c>
      <c r="E18" s="49" t="s">
        <v>598</v>
      </c>
      <c r="F18" s="10">
        <v>3.924267449684957</v>
      </c>
      <c r="G18" s="10">
        <v>4.896093647244508</v>
      </c>
      <c r="H18" s="10">
        <v>0.28489073602359566</v>
      </c>
      <c r="I18" s="10">
        <v>3.9732060928610755</v>
      </c>
      <c r="J18" s="10">
        <v>4.656269172398204</v>
      </c>
      <c r="K18" s="10">
        <v>0.5277426350984998</v>
      </c>
      <c r="L18" s="10">
        <v>4.389910050840829</v>
      </c>
      <c r="M18" s="10">
        <v>6.703489831785086</v>
      </c>
      <c r="N18" s="10">
        <v>5.020356755806802</v>
      </c>
      <c r="O18" s="10">
        <v>3.6698952453952103</v>
      </c>
      <c r="P18" s="10">
        <v>6.154094281369522</v>
      </c>
    </row>
    <row r="19" spans="1:16" ht="12.75">
      <c r="A19" s="240" t="s">
        <v>38</v>
      </c>
      <c r="B19" s="240"/>
      <c r="C19" s="240"/>
      <c r="E19" s="49"/>
      <c r="F19" s="9"/>
      <c r="G19" s="9"/>
      <c r="H19" s="9"/>
      <c r="I19" s="9"/>
      <c r="J19" s="9"/>
      <c r="K19" s="9"/>
      <c r="L19" s="9"/>
      <c r="M19" s="9"/>
      <c r="N19" s="9"/>
      <c r="O19" s="9"/>
      <c r="P19" s="9"/>
    </row>
    <row r="20" spans="1:16" ht="12.75">
      <c r="A20" s="240" t="s">
        <v>35</v>
      </c>
      <c r="B20" s="240"/>
      <c r="C20" s="240"/>
      <c r="E20" s="119" t="s">
        <v>382</v>
      </c>
      <c r="F20" s="9"/>
      <c r="G20" s="9"/>
      <c r="H20" s="9"/>
      <c r="I20" s="9"/>
      <c r="J20" s="9"/>
      <c r="K20" s="9"/>
      <c r="L20" s="9"/>
      <c r="M20" s="9"/>
      <c r="N20" s="9"/>
      <c r="O20" s="9"/>
      <c r="P20" s="9"/>
    </row>
    <row r="21" spans="1:16" ht="12.75">
      <c r="A21" s="240" t="s">
        <v>36</v>
      </c>
      <c r="B21" s="240"/>
      <c r="C21" s="240"/>
      <c r="E21" s="49" t="s">
        <v>10</v>
      </c>
      <c r="F21" s="9">
        <v>7357</v>
      </c>
      <c r="G21" s="9">
        <v>8794</v>
      </c>
      <c r="H21" s="9">
        <v>10485</v>
      </c>
      <c r="I21" s="9">
        <v>13302</v>
      </c>
      <c r="J21" s="9">
        <v>16260</v>
      </c>
      <c r="K21" s="9">
        <v>17810</v>
      </c>
      <c r="L21" s="9">
        <v>22044</v>
      </c>
      <c r="M21" s="9">
        <v>20695</v>
      </c>
      <c r="N21" s="9">
        <v>20041</v>
      </c>
      <c r="O21" s="9">
        <v>18546</v>
      </c>
      <c r="P21" s="9">
        <v>15419</v>
      </c>
    </row>
    <row r="22" spans="1:16" ht="12.75">
      <c r="A22" s="240" t="s">
        <v>36</v>
      </c>
      <c r="B22" s="240"/>
      <c r="C22" s="240" t="s">
        <v>530</v>
      </c>
      <c r="E22" s="49" t="s">
        <v>542</v>
      </c>
      <c r="F22" s="9"/>
      <c r="G22" s="9"/>
      <c r="H22" s="9"/>
      <c r="I22" s="9"/>
      <c r="J22" s="9"/>
      <c r="K22" s="9"/>
      <c r="L22" s="9"/>
      <c r="M22" s="9"/>
      <c r="N22" s="10">
        <v>2.8</v>
      </c>
      <c r="O22" s="10">
        <v>-1.5</v>
      </c>
      <c r="P22" s="10">
        <v>-10.8</v>
      </c>
    </row>
    <row r="23" spans="1:16" ht="12.75">
      <c r="A23" s="240" t="s">
        <v>36</v>
      </c>
      <c r="B23" s="240"/>
      <c r="C23" s="240"/>
      <c r="E23" s="49" t="s">
        <v>17</v>
      </c>
      <c r="F23" s="9">
        <v>291</v>
      </c>
      <c r="G23" s="9">
        <v>462</v>
      </c>
      <c r="H23" s="9">
        <v>645</v>
      </c>
      <c r="I23" s="9">
        <v>809</v>
      </c>
      <c r="J23" s="9">
        <v>951</v>
      </c>
      <c r="K23" s="9">
        <v>820</v>
      </c>
      <c r="L23" s="9">
        <v>1590</v>
      </c>
      <c r="M23" s="9">
        <v>979</v>
      </c>
      <c r="N23" s="9">
        <v>1069</v>
      </c>
      <c r="O23" s="9">
        <v>463</v>
      </c>
      <c r="P23" s="9">
        <v>-68</v>
      </c>
    </row>
    <row r="24" spans="1:16" ht="12.75">
      <c r="A24" s="240" t="s">
        <v>36</v>
      </c>
      <c r="B24" s="240" t="s">
        <v>39</v>
      </c>
      <c r="C24" s="240" t="s">
        <v>530</v>
      </c>
      <c r="E24" s="49" t="s">
        <v>599</v>
      </c>
      <c r="F24" s="10">
        <v>3.955416610031263</v>
      </c>
      <c r="G24" s="10">
        <v>5.253581987718899</v>
      </c>
      <c r="H24" s="10">
        <v>6.151645207439199</v>
      </c>
      <c r="I24" s="10">
        <v>6.081792211697489</v>
      </c>
      <c r="J24" s="10">
        <v>5.8487084870848705</v>
      </c>
      <c r="K24" s="10">
        <v>4.604154969118473</v>
      </c>
      <c r="L24" s="10">
        <v>7.212847033206314</v>
      </c>
      <c r="M24" s="10">
        <v>4.730611258758154</v>
      </c>
      <c r="N24" s="10">
        <v>5.334065166408862</v>
      </c>
      <c r="O24" s="10">
        <v>2.496495201121536</v>
      </c>
      <c r="P24" s="10">
        <v>-0.4410143329658214</v>
      </c>
    </row>
    <row r="25" spans="1:16" ht="12.75">
      <c r="A25" s="240" t="s">
        <v>38</v>
      </c>
      <c r="B25" s="240"/>
      <c r="C25" s="240"/>
      <c r="E25" s="122"/>
      <c r="F25" s="9"/>
      <c r="G25" s="9"/>
      <c r="H25" s="9"/>
      <c r="I25" s="9"/>
      <c r="J25" s="9"/>
      <c r="K25" s="9"/>
      <c r="L25" s="9"/>
      <c r="M25" s="9"/>
      <c r="N25" s="9"/>
      <c r="O25" s="9"/>
      <c r="P25" s="9"/>
    </row>
    <row r="26" spans="1:16" ht="12.75">
      <c r="A26" s="240" t="s">
        <v>35</v>
      </c>
      <c r="B26" s="240"/>
      <c r="C26" s="240"/>
      <c r="E26" s="123" t="s">
        <v>383</v>
      </c>
      <c r="F26" s="9"/>
      <c r="G26" s="9"/>
      <c r="H26" s="9"/>
      <c r="I26" s="9"/>
      <c r="J26" s="9"/>
      <c r="K26" s="9"/>
      <c r="L26" s="9"/>
      <c r="M26" s="9"/>
      <c r="N26" s="9"/>
      <c r="O26" s="9"/>
      <c r="P26" s="9"/>
    </row>
    <row r="27" spans="1:16" ht="12.75">
      <c r="A27" s="240" t="s">
        <v>36</v>
      </c>
      <c r="B27" s="240"/>
      <c r="C27" s="240"/>
      <c r="E27" s="122" t="s">
        <v>10</v>
      </c>
      <c r="F27" s="9">
        <v>5803</v>
      </c>
      <c r="G27" s="9">
        <v>6080</v>
      </c>
      <c r="H27" s="9">
        <v>6049</v>
      </c>
      <c r="I27" s="9">
        <v>7037</v>
      </c>
      <c r="J27" s="9">
        <v>7679</v>
      </c>
      <c r="K27" s="9">
        <v>7852</v>
      </c>
      <c r="L27" s="9">
        <v>8405</v>
      </c>
      <c r="M27" s="9">
        <v>8653</v>
      </c>
      <c r="N27" s="9">
        <v>8803</v>
      </c>
      <c r="O27" s="9">
        <v>9229</v>
      </c>
      <c r="P27" s="9">
        <v>9380</v>
      </c>
    </row>
    <row r="28" spans="1:16" ht="12.75">
      <c r="A28" s="240" t="s">
        <v>36</v>
      </c>
      <c r="B28" s="240"/>
      <c r="C28" s="240" t="s">
        <v>530</v>
      </c>
      <c r="E28" s="49" t="s">
        <v>542</v>
      </c>
      <c r="F28" s="9"/>
      <c r="G28" s="9"/>
      <c r="H28" s="9"/>
      <c r="I28" s="9"/>
      <c r="J28" s="9"/>
      <c r="K28" s="9"/>
      <c r="L28" s="9"/>
      <c r="M28" s="9"/>
      <c r="N28" s="10">
        <v>0.4</v>
      </c>
      <c r="O28" s="10">
        <v>-5.1</v>
      </c>
      <c r="P28" s="10">
        <v>1.3</v>
      </c>
    </row>
    <row r="29" spans="1:16" ht="12.75">
      <c r="A29" s="240" t="s">
        <v>36</v>
      </c>
      <c r="B29" s="240"/>
      <c r="C29" s="240" t="s">
        <v>530</v>
      </c>
      <c r="E29" s="49" t="s">
        <v>546</v>
      </c>
      <c r="F29" s="9"/>
      <c r="G29" s="9"/>
      <c r="H29" s="9"/>
      <c r="I29" s="9"/>
      <c r="J29" s="9"/>
      <c r="K29" s="9"/>
      <c r="L29" s="9"/>
      <c r="M29" s="9"/>
      <c r="N29" s="10">
        <v>0.6</v>
      </c>
      <c r="O29" s="10">
        <v>0.8</v>
      </c>
      <c r="P29" s="10">
        <v>0.5</v>
      </c>
    </row>
    <row r="30" spans="1:16" ht="12.75">
      <c r="A30" s="240" t="s">
        <v>36</v>
      </c>
      <c r="B30" s="240"/>
      <c r="C30" s="240"/>
      <c r="E30" s="122" t="s">
        <v>17</v>
      </c>
      <c r="F30" s="9">
        <v>-69</v>
      </c>
      <c r="G30" s="9">
        <v>63</v>
      </c>
      <c r="H30" s="9">
        <v>93</v>
      </c>
      <c r="I30" s="9">
        <v>378</v>
      </c>
      <c r="J30" s="9">
        <v>793</v>
      </c>
      <c r="K30" s="9">
        <v>736</v>
      </c>
      <c r="L30" s="9">
        <v>746</v>
      </c>
      <c r="M30" s="174">
        <v>116</v>
      </c>
      <c r="N30" s="174">
        <v>438</v>
      </c>
      <c r="O30" s="174">
        <v>364</v>
      </c>
      <c r="P30" s="174">
        <v>626</v>
      </c>
    </row>
    <row r="31" spans="1:16" ht="12.75">
      <c r="A31" s="240" t="s">
        <v>36</v>
      </c>
      <c r="B31" s="240" t="s">
        <v>39</v>
      </c>
      <c r="C31" s="240" t="s">
        <v>530</v>
      </c>
      <c r="E31" s="122" t="s">
        <v>600</v>
      </c>
      <c r="F31" s="10">
        <v>-1.1890401516457005</v>
      </c>
      <c r="G31" s="10">
        <v>1.0361842105263157</v>
      </c>
      <c r="H31" s="10">
        <v>1.5374442056538271</v>
      </c>
      <c r="I31" s="10">
        <v>5.371607218985363</v>
      </c>
      <c r="J31" s="10">
        <v>10.326865477275687</v>
      </c>
      <c r="K31" s="10">
        <v>9.373408048904738</v>
      </c>
      <c r="L31" s="10">
        <v>8.875669244497324</v>
      </c>
      <c r="M31" s="175">
        <v>1.3405755229400207</v>
      </c>
      <c r="N31" s="175">
        <v>4.975576508008634</v>
      </c>
      <c r="O31" s="175">
        <v>3.944089283779391</v>
      </c>
      <c r="P31" s="175">
        <v>6.673773987206823</v>
      </c>
    </row>
    <row r="32" spans="1:16" ht="12.75">
      <c r="A32" s="240" t="s">
        <v>38</v>
      </c>
      <c r="B32" s="240"/>
      <c r="C32" s="240"/>
      <c r="E32" s="122"/>
      <c r="F32" s="10"/>
      <c r="G32" s="10"/>
      <c r="H32" s="10"/>
      <c r="I32" s="10"/>
      <c r="J32" s="10"/>
      <c r="K32" s="10"/>
      <c r="L32" s="10"/>
      <c r="M32" s="10"/>
      <c r="N32" s="10"/>
      <c r="O32" s="10"/>
      <c r="P32" s="10"/>
    </row>
    <row r="33" spans="1:16" ht="12.75">
      <c r="A33" s="240" t="s">
        <v>35</v>
      </c>
      <c r="B33" s="240"/>
      <c r="C33" s="240"/>
      <c r="E33" s="123" t="s">
        <v>379</v>
      </c>
      <c r="F33" s="9"/>
      <c r="G33" s="9"/>
      <c r="H33" s="9"/>
      <c r="I33" s="9"/>
      <c r="J33" s="9"/>
      <c r="K33" s="9"/>
      <c r="L33" s="9"/>
      <c r="M33" s="9"/>
      <c r="N33" s="9"/>
      <c r="O33" s="9"/>
      <c r="P33" s="9"/>
    </row>
    <row r="34" spans="1:16" ht="12.75">
      <c r="A34" s="240" t="s">
        <v>36</v>
      </c>
      <c r="B34" s="240"/>
      <c r="C34" s="240"/>
      <c r="E34" s="122" t="s">
        <v>10</v>
      </c>
      <c r="F34" s="9">
        <v>7987</v>
      </c>
      <c r="G34" s="9">
        <v>8309</v>
      </c>
      <c r="H34" s="9">
        <v>7987</v>
      </c>
      <c r="I34" s="9">
        <v>8464</v>
      </c>
      <c r="J34" s="9">
        <v>8422</v>
      </c>
      <c r="K34" s="9">
        <v>8359</v>
      </c>
      <c r="L34" s="9">
        <v>9011</v>
      </c>
      <c r="M34" s="9">
        <v>8952</v>
      </c>
      <c r="N34" s="9">
        <v>8678</v>
      </c>
      <c r="O34" s="9">
        <v>8958</v>
      </c>
      <c r="P34" s="9">
        <v>8183</v>
      </c>
    </row>
    <row r="35" spans="1:16" ht="12.75">
      <c r="A35" s="240" t="s">
        <v>36</v>
      </c>
      <c r="B35" s="240"/>
      <c r="C35" s="240" t="s">
        <v>530</v>
      </c>
      <c r="E35" s="49" t="s">
        <v>542</v>
      </c>
      <c r="F35" s="9"/>
      <c r="G35" s="9"/>
      <c r="H35" s="9"/>
      <c r="I35" s="9"/>
      <c r="J35" s="9"/>
      <c r="K35" s="9"/>
      <c r="L35" s="9"/>
      <c r="M35" s="9"/>
      <c r="N35" s="10">
        <v>-4.2</v>
      </c>
      <c r="O35" s="10">
        <v>-3.8</v>
      </c>
      <c r="P35" s="10">
        <v>-8.2</v>
      </c>
    </row>
    <row r="36" spans="1:16" ht="12.75">
      <c r="A36" s="240" t="s">
        <v>36</v>
      </c>
      <c r="B36" s="240"/>
      <c r="C36" s="240"/>
      <c r="E36" s="122" t="s">
        <v>17</v>
      </c>
      <c r="F36" s="9">
        <v>562</v>
      </c>
      <c r="G36" s="9">
        <v>747</v>
      </c>
      <c r="H36" s="9">
        <v>764</v>
      </c>
      <c r="I36" s="9">
        <v>763</v>
      </c>
      <c r="J36" s="9">
        <v>802</v>
      </c>
      <c r="K36" s="9">
        <v>543</v>
      </c>
      <c r="L36" s="9">
        <v>461</v>
      </c>
      <c r="M36" s="9">
        <v>309</v>
      </c>
      <c r="N36" s="9">
        <v>200</v>
      </c>
      <c r="O36" s="9">
        <v>-63</v>
      </c>
      <c r="P36" s="9">
        <v>238</v>
      </c>
    </row>
    <row r="37" spans="1:16" ht="12.75">
      <c r="A37" s="240" t="s">
        <v>36</v>
      </c>
      <c r="B37" s="240" t="s">
        <v>39</v>
      </c>
      <c r="C37" s="240" t="s">
        <v>530</v>
      </c>
      <c r="E37" s="122" t="s">
        <v>601</v>
      </c>
      <c r="F37" s="10">
        <v>7.036434205584074</v>
      </c>
      <c r="G37" s="10">
        <v>8.990251534480684</v>
      </c>
      <c r="H37" s="10">
        <v>9.565544009014648</v>
      </c>
      <c r="I37" s="10">
        <v>9.014650283553875</v>
      </c>
      <c r="J37" s="10">
        <v>9.522678698646402</v>
      </c>
      <c r="K37" s="10">
        <v>6.495992343581768</v>
      </c>
      <c r="L37" s="10">
        <v>5.11596937076906</v>
      </c>
      <c r="M37" s="10">
        <v>3.451742627345845</v>
      </c>
      <c r="N37" s="10">
        <v>2.3046784973496197</v>
      </c>
      <c r="O37" s="10">
        <v>-0.7032819825853985</v>
      </c>
      <c r="P37" s="10">
        <v>2.9084687767322497</v>
      </c>
    </row>
    <row r="38" spans="1:16" ht="12.75">
      <c r="A38" s="240" t="s">
        <v>38</v>
      </c>
      <c r="B38" s="240"/>
      <c r="C38" s="240"/>
      <c r="E38" s="49"/>
      <c r="F38" s="9"/>
      <c r="G38" s="9"/>
      <c r="H38" s="9"/>
      <c r="I38" s="9"/>
      <c r="J38" s="9"/>
      <c r="K38" s="9"/>
      <c r="L38" s="9"/>
      <c r="M38" s="9"/>
      <c r="N38" s="9"/>
      <c r="O38" s="9"/>
      <c r="P38" s="9"/>
    </row>
    <row r="39" spans="1:16" ht="12.75">
      <c r="A39" s="240" t="s">
        <v>35</v>
      </c>
      <c r="B39" s="240"/>
      <c r="C39" s="240"/>
      <c r="E39" s="119" t="s">
        <v>131</v>
      </c>
      <c r="F39" s="9"/>
      <c r="G39" s="9"/>
      <c r="H39" s="9"/>
      <c r="I39" s="9"/>
      <c r="J39" s="9"/>
      <c r="K39" s="9"/>
      <c r="L39" s="9"/>
      <c r="M39" s="9"/>
      <c r="N39" s="9"/>
      <c r="O39" s="9"/>
      <c r="P39" s="9"/>
    </row>
    <row r="40" spans="1:16" ht="12.75">
      <c r="A40" s="240" t="s">
        <v>36</v>
      </c>
      <c r="B40" s="240"/>
      <c r="C40" s="240"/>
      <c r="E40" s="122" t="s">
        <v>10</v>
      </c>
      <c r="F40" s="9">
        <v>6941</v>
      </c>
      <c r="G40" s="9">
        <v>7102</v>
      </c>
      <c r="H40" s="9">
        <v>7427</v>
      </c>
      <c r="I40" s="9">
        <v>7129</v>
      </c>
      <c r="J40" s="9">
        <v>6389</v>
      </c>
      <c r="K40" s="9">
        <v>5882</v>
      </c>
      <c r="L40" s="9">
        <v>5571</v>
      </c>
      <c r="M40" s="9">
        <v>5550</v>
      </c>
      <c r="N40" s="9">
        <v>6041</v>
      </c>
      <c r="O40" s="9">
        <v>6546</v>
      </c>
      <c r="P40" s="9">
        <v>6865</v>
      </c>
    </row>
    <row r="41" spans="1:16" ht="12.75">
      <c r="A41" s="240" t="s">
        <v>36</v>
      </c>
      <c r="B41" s="240"/>
      <c r="C41" s="240" t="s">
        <v>530</v>
      </c>
      <c r="E41" s="49" t="s">
        <v>542</v>
      </c>
      <c r="F41" s="9"/>
      <c r="G41" s="9"/>
      <c r="H41" s="9"/>
      <c r="I41" s="9"/>
      <c r="J41" s="9"/>
      <c r="K41" s="9"/>
      <c r="L41" s="9"/>
      <c r="M41" s="9"/>
      <c r="N41" s="10">
        <v>5.6</v>
      </c>
      <c r="O41" s="10">
        <v>2.8</v>
      </c>
      <c r="P41" s="10">
        <v>4.4</v>
      </c>
    </row>
    <row r="42" spans="1:16" ht="12.75">
      <c r="A42" s="240" t="s">
        <v>36</v>
      </c>
      <c r="B42" s="240"/>
      <c r="C42" s="240" t="s">
        <v>530</v>
      </c>
      <c r="E42" s="49" t="s">
        <v>546</v>
      </c>
      <c r="F42" s="9"/>
      <c r="G42" s="9"/>
      <c r="H42" s="9"/>
      <c r="I42" s="9"/>
      <c r="J42" s="9"/>
      <c r="K42" s="9"/>
      <c r="L42" s="9"/>
      <c r="M42" s="9"/>
      <c r="N42" s="10">
        <v>0</v>
      </c>
      <c r="O42" s="10">
        <v>1.2</v>
      </c>
      <c r="P42" s="10">
        <v>0.6</v>
      </c>
    </row>
    <row r="43" spans="1:16" ht="12.75">
      <c r="A43" s="240" t="s">
        <v>36</v>
      </c>
      <c r="B43" s="240"/>
      <c r="C43" s="240"/>
      <c r="E43" s="49" t="s">
        <v>17</v>
      </c>
      <c r="F43" s="9">
        <v>535</v>
      </c>
      <c r="G43" s="9">
        <v>584</v>
      </c>
      <c r="H43" s="9">
        <v>774</v>
      </c>
      <c r="I43" s="9">
        <v>668</v>
      </c>
      <c r="J43" s="9">
        <v>743</v>
      </c>
      <c r="K43" s="9">
        <v>841</v>
      </c>
      <c r="L43" s="9">
        <v>588</v>
      </c>
      <c r="M43" s="9">
        <v>510</v>
      </c>
      <c r="N43" s="9">
        <v>671</v>
      </c>
      <c r="O43" s="9">
        <v>862</v>
      </c>
      <c r="P43" s="9">
        <v>954</v>
      </c>
    </row>
    <row r="44" spans="1:16" ht="12.75">
      <c r="A44" s="240" t="s">
        <v>36</v>
      </c>
      <c r="B44" s="240" t="s">
        <v>39</v>
      </c>
      <c r="C44" s="240" t="s">
        <v>530</v>
      </c>
      <c r="E44" s="49" t="s">
        <v>602</v>
      </c>
      <c r="F44" s="10">
        <v>7.7078230802478025</v>
      </c>
      <c r="G44" s="10">
        <v>8.2</v>
      </c>
      <c r="H44" s="10">
        <v>10.4</v>
      </c>
      <c r="I44" s="10">
        <v>9.370178145602468</v>
      </c>
      <c r="J44" s="10">
        <v>11.629362967600564</v>
      </c>
      <c r="K44" s="10">
        <v>14.297857871472289</v>
      </c>
      <c r="L44" s="10">
        <v>10.554658050619278</v>
      </c>
      <c r="M44" s="10">
        <v>9.18918918918919</v>
      </c>
      <c r="N44" s="10">
        <v>11.107432544280748</v>
      </c>
      <c r="O44" s="10">
        <v>13.168347082187596</v>
      </c>
      <c r="P44" s="10">
        <v>13.896576839038602</v>
      </c>
    </row>
    <row r="45" spans="1:16" ht="12.75">
      <c r="A45" s="240" t="s">
        <v>38</v>
      </c>
      <c r="B45" s="240"/>
      <c r="C45" s="240"/>
      <c r="E45" s="49"/>
      <c r="F45" s="9"/>
      <c r="G45" s="9"/>
      <c r="H45" s="9"/>
      <c r="I45" s="9"/>
      <c r="J45" s="9"/>
      <c r="K45" s="9"/>
      <c r="L45" s="9"/>
      <c r="M45" s="9"/>
      <c r="N45" s="9"/>
      <c r="O45" s="9"/>
      <c r="P45" s="9"/>
    </row>
    <row r="46" spans="1:16" ht="12.75">
      <c r="A46" s="240" t="s">
        <v>35</v>
      </c>
      <c r="B46" s="240"/>
      <c r="C46" s="240"/>
      <c r="E46" s="119" t="s">
        <v>132</v>
      </c>
      <c r="F46" s="94"/>
      <c r="G46" s="9"/>
      <c r="H46" s="9"/>
      <c r="I46" s="9"/>
      <c r="J46" s="9"/>
      <c r="K46" s="9"/>
      <c r="L46" s="9"/>
      <c r="M46" s="9"/>
      <c r="N46" s="9"/>
      <c r="O46" s="9"/>
      <c r="P46" s="9"/>
    </row>
    <row r="47" spans="1:16" ht="12.75">
      <c r="A47" s="240" t="s">
        <v>36</v>
      </c>
      <c r="B47" s="240"/>
      <c r="C47" s="240"/>
      <c r="E47" s="122" t="s">
        <v>10</v>
      </c>
      <c r="F47" s="9">
        <v>101</v>
      </c>
      <c r="G47" s="9">
        <v>20</v>
      </c>
      <c r="H47" s="9">
        <v>56</v>
      </c>
      <c r="I47" s="9">
        <v>6</v>
      </c>
      <c r="J47" s="9">
        <v>11</v>
      </c>
      <c r="K47" s="9">
        <v>1</v>
      </c>
      <c r="L47" s="9">
        <v>1</v>
      </c>
      <c r="M47" s="9">
        <v>1</v>
      </c>
      <c r="N47" s="9">
        <v>1</v>
      </c>
      <c r="O47" s="9">
        <v>0</v>
      </c>
      <c r="P47" s="9">
        <v>0</v>
      </c>
    </row>
    <row r="48" spans="1:16" ht="12.75">
      <c r="A48" s="240" t="s">
        <v>36</v>
      </c>
      <c r="B48" s="240"/>
      <c r="C48" s="240"/>
      <c r="E48" s="49" t="s">
        <v>17</v>
      </c>
      <c r="F48" s="9">
        <v>-602</v>
      </c>
      <c r="G48" s="9">
        <v>-369</v>
      </c>
      <c r="H48" s="9">
        <v>-515</v>
      </c>
      <c r="I48" s="9">
        <v>-507</v>
      </c>
      <c r="J48" s="9">
        <v>-534</v>
      </c>
      <c r="K48" s="9">
        <v>-744</v>
      </c>
      <c r="L48" s="9">
        <v>-910</v>
      </c>
      <c r="M48" s="9">
        <f>-775-1214</f>
        <v>-1989</v>
      </c>
      <c r="N48" s="9">
        <v>-743</v>
      </c>
      <c r="O48" s="9">
        <v>-2632</v>
      </c>
      <c r="P48" s="9">
        <v>-693</v>
      </c>
    </row>
    <row r="49" spans="1:16" ht="12.75">
      <c r="A49" s="240" t="s">
        <v>36</v>
      </c>
      <c r="B49" s="240"/>
      <c r="C49" s="240" t="s">
        <v>530</v>
      </c>
      <c r="E49" s="49" t="s">
        <v>531</v>
      </c>
      <c r="F49" s="10"/>
      <c r="G49" s="10"/>
      <c r="H49" s="10"/>
      <c r="I49" s="10"/>
      <c r="J49" s="10"/>
      <c r="K49" s="10"/>
      <c r="L49" s="10"/>
      <c r="M49" s="10"/>
      <c r="N49" s="10"/>
      <c r="O49" s="10"/>
      <c r="P49" s="10"/>
    </row>
    <row r="50" spans="1:16" ht="12.75">
      <c r="A50" s="240" t="s">
        <v>38</v>
      </c>
      <c r="B50" s="240"/>
      <c r="C50" s="240"/>
      <c r="E50" s="53"/>
      <c r="F50" s="53"/>
      <c r="G50" s="9"/>
      <c r="H50" s="9"/>
      <c r="I50" s="9"/>
      <c r="J50" s="9"/>
      <c r="K50" s="9"/>
      <c r="L50" s="9"/>
      <c r="M50" s="9"/>
      <c r="N50" s="9"/>
      <c r="O50" s="9"/>
      <c r="P50" s="9"/>
    </row>
    <row r="51" spans="1:16" ht="12.75">
      <c r="A51" s="240" t="s">
        <v>35</v>
      </c>
      <c r="B51" s="240"/>
      <c r="C51" s="240"/>
      <c r="E51" s="159" t="s">
        <v>466</v>
      </c>
      <c r="F51" s="9"/>
      <c r="G51" s="9"/>
      <c r="H51" s="9"/>
      <c r="I51" s="9"/>
      <c r="J51" s="9"/>
      <c r="K51" s="9"/>
      <c r="L51" s="9"/>
      <c r="M51" s="9"/>
      <c r="N51" s="9"/>
      <c r="O51" s="9"/>
      <c r="P51" s="9"/>
    </row>
    <row r="52" spans="1:16" ht="12.75">
      <c r="A52" s="240" t="s">
        <v>36</v>
      </c>
      <c r="B52" s="240"/>
      <c r="C52" s="240"/>
      <c r="E52" s="122" t="s">
        <v>10</v>
      </c>
      <c r="F52" s="9">
        <v>103848</v>
      </c>
      <c r="G52" s="9">
        <v>104732</v>
      </c>
      <c r="H52" s="9">
        <v>104792</v>
      </c>
      <c r="I52" s="9">
        <v>109132</v>
      </c>
      <c r="J52" s="9">
        <v>106326</v>
      </c>
      <c r="K52" s="9"/>
      <c r="L52" s="9"/>
      <c r="M52" s="9"/>
      <c r="N52" s="9"/>
      <c r="O52" s="9"/>
      <c r="P52" s="9"/>
    </row>
    <row r="53" spans="1:16" ht="12.75">
      <c r="A53" s="240" t="s">
        <v>36</v>
      </c>
      <c r="B53" s="240"/>
      <c r="C53" s="240"/>
      <c r="E53" s="49" t="s">
        <v>17</v>
      </c>
      <c r="F53" s="9">
        <v>4575</v>
      </c>
      <c r="G53" s="9">
        <v>4837</v>
      </c>
      <c r="H53" s="9">
        <v>1543</v>
      </c>
      <c r="I53" s="9">
        <v>5322</v>
      </c>
      <c r="J53" s="9">
        <v>6494</v>
      </c>
      <c r="K53" s="9"/>
      <c r="L53" s="9"/>
      <c r="M53" s="9"/>
      <c r="N53" s="9"/>
      <c r="O53" s="9"/>
      <c r="P53" s="9"/>
    </row>
    <row r="54" spans="1:16" ht="12.75">
      <c r="A54" s="240" t="s">
        <v>36</v>
      </c>
      <c r="B54" s="240"/>
      <c r="C54" s="240" t="s">
        <v>530</v>
      </c>
      <c r="E54" s="49" t="s">
        <v>531</v>
      </c>
      <c r="F54" s="10">
        <v>4.405477235960249</v>
      </c>
      <c r="G54" s="10">
        <v>4.6184547225298855</v>
      </c>
      <c r="H54" s="10">
        <v>1.4724406443239941</v>
      </c>
      <c r="I54" s="10">
        <v>4.876663123556794</v>
      </c>
      <c r="J54" s="10">
        <v>6.107631247296052</v>
      </c>
      <c r="K54" s="10"/>
      <c r="L54" s="10"/>
      <c r="M54" s="10"/>
      <c r="N54" s="10"/>
      <c r="O54" s="10"/>
      <c r="P54" s="10"/>
    </row>
    <row r="55" spans="1:16" ht="12.75">
      <c r="A55" s="240" t="s">
        <v>38</v>
      </c>
      <c r="B55" s="240"/>
      <c r="C55" s="240"/>
      <c r="E55" s="119"/>
      <c r="F55" s="1"/>
      <c r="G55" s="1"/>
      <c r="H55" s="1"/>
      <c r="I55" s="1"/>
      <c r="J55" s="1"/>
      <c r="K55" s="1"/>
      <c r="L55" s="1"/>
      <c r="M55" s="10"/>
      <c r="N55" s="10"/>
      <c r="O55" s="10"/>
      <c r="P55" s="10"/>
    </row>
    <row r="56" spans="1:16" ht="12.75">
      <c r="A56" s="240" t="s">
        <v>35</v>
      </c>
      <c r="B56" s="240"/>
      <c r="C56" s="240"/>
      <c r="E56" s="159" t="s">
        <v>509</v>
      </c>
      <c r="F56" s="291"/>
      <c r="G56" s="291"/>
      <c r="H56" s="292"/>
      <c r="I56" s="180"/>
      <c r="J56" s="180"/>
      <c r="K56" s="180"/>
      <c r="L56" s="180"/>
      <c r="M56" s="180"/>
      <c r="N56" s="180"/>
      <c r="O56" s="180"/>
      <c r="P56" s="180"/>
    </row>
    <row r="57" spans="1:16" ht="12.75">
      <c r="A57" s="240" t="s">
        <v>36</v>
      </c>
      <c r="B57" s="240"/>
      <c r="C57" s="240"/>
      <c r="E57" s="122" t="s">
        <v>10</v>
      </c>
      <c r="F57" s="10"/>
      <c r="G57" s="10"/>
      <c r="H57" s="10"/>
      <c r="I57" s="10"/>
      <c r="J57" s="10"/>
      <c r="K57" s="10"/>
      <c r="L57" s="10"/>
      <c r="M57" s="169"/>
      <c r="N57" s="9"/>
      <c r="O57" s="169"/>
      <c r="P57" s="169"/>
    </row>
    <row r="58" spans="1:16" ht="12.75">
      <c r="A58" s="240" t="s">
        <v>36</v>
      </c>
      <c r="B58" s="240"/>
      <c r="C58" s="240"/>
      <c r="E58" s="49" t="s">
        <v>17</v>
      </c>
      <c r="F58" s="9">
        <v>-542</v>
      </c>
      <c r="G58" s="9">
        <v>-362</v>
      </c>
      <c r="H58" s="9">
        <v>-355</v>
      </c>
      <c r="I58" s="9">
        <v>-1561</v>
      </c>
      <c r="J58" s="9">
        <v>-1064</v>
      </c>
      <c r="K58" s="9">
        <v>-138</v>
      </c>
      <c r="L58" s="9">
        <v>-1032</v>
      </c>
      <c r="M58" s="9">
        <v>-2475</v>
      </c>
      <c r="N58" s="9">
        <v>-1348</v>
      </c>
      <c r="O58" s="9">
        <v>-2249</v>
      </c>
      <c r="P58" s="9">
        <v>0</v>
      </c>
    </row>
    <row r="59" spans="1:16" ht="12.75">
      <c r="A59" s="240" t="s">
        <v>36</v>
      </c>
      <c r="B59" s="240"/>
      <c r="C59" s="240" t="s">
        <v>530</v>
      </c>
      <c r="E59" s="49" t="s">
        <v>531</v>
      </c>
      <c r="F59" s="10"/>
      <c r="G59" s="10"/>
      <c r="H59" s="10"/>
      <c r="I59" s="10"/>
      <c r="J59" s="10"/>
      <c r="K59" s="10"/>
      <c r="L59" s="10"/>
      <c r="M59" s="9"/>
      <c r="N59" s="9"/>
      <c r="O59" s="9"/>
      <c r="P59" s="9"/>
    </row>
    <row r="60" spans="1:16" ht="12.75">
      <c r="A60" s="240" t="s">
        <v>38</v>
      </c>
      <c r="B60" s="240"/>
      <c r="C60" s="240"/>
      <c r="E60" s="53"/>
      <c r="F60" s="53"/>
      <c r="G60" s="9"/>
      <c r="H60" s="9"/>
      <c r="I60" s="9"/>
      <c r="J60" s="9"/>
      <c r="K60" s="9"/>
      <c r="L60" s="9"/>
      <c r="M60" s="10"/>
      <c r="N60" s="10"/>
      <c r="O60" s="10"/>
      <c r="P60" s="10"/>
    </row>
    <row r="61" spans="1:16" ht="12.75">
      <c r="A61" s="240" t="s">
        <v>35</v>
      </c>
      <c r="B61" s="240"/>
      <c r="C61" s="240"/>
      <c r="E61" s="159" t="s">
        <v>453</v>
      </c>
      <c r="F61" s="75"/>
      <c r="G61" s="1"/>
      <c r="H61" s="1"/>
      <c r="I61" s="1"/>
      <c r="J61" s="1"/>
      <c r="K61" s="1"/>
      <c r="L61" s="1"/>
      <c r="M61" s="1"/>
      <c r="N61" s="1"/>
      <c r="O61" s="1"/>
      <c r="P61" s="1"/>
    </row>
    <row r="62" spans="1:16" ht="12.75">
      <c r="A62" s="240" t="s">
        <v>36</v>
      </c>
      <c r="B62" s="240"/>
      <c r="C62" s="240"/>
      <c r="E62" s="122" t="s">
        <v>10</v>
      </c>
      <c r="F62" s="9">
        <v>103848</v>
      </c>
      <c r="G62" s="9">
        <v>104732</v>
      </c>
      <c r="H62" s="9">
        <v>104792</v>
      </c>
      <c r="I62" s="9">
        <f>+I52</f>
        <v>109132</v>
      </c>
      <c r="J62" s="9">
        <v>106326</v>
      </c>
      <c r="K62" s="9">
        <v>101598</v>
      </c>
      <c r="L62" s="9">
        <v>109994</v>
      </c>
      <c r="M62" s="9">
        <v>109151</v>
      </c>
      <c r="N62" s="9">
        <v>112143</v>
      </c>
      <c r="O62" s="9">
        <v>123511</v>
      </c>
      <c r="P62" s="9">
        <v>121093</v>
      </c>
    </row>
    <row r="63" spans="1:16" ht="12.75">
      <c r="A63" s="240" t="s">
        <v>36</v>
      </c>
      <c r="B63" s="240"/>
      <c r="C63" s="240" t="s">
        <v>530</v>
      </c>
      <c r="E63" s="49" t="s">
        <v>542</v>
      </c>
      <c r="F63" s="9"/>
      <c r="G63" s="9"/>
      <c r="H63" s="9"/>
      <c r="I63" s="9"/>
      <c r="J63" s="9"/>
      <c r="K63" s="9"/>
      <c r="L63" s="9"/>
      <c r="M63" s="9"/>
      <c r="N63" s="10">
        <v>1.1</v>
      </c>
      <c r="O63" s="10">
        <v>2.2</v>
      </c>
      <c r="P63" s="10">
        <v>-1.1</v>
      </c>
    </row>
    <row r="64" spans="1:16" ht="12.75">
      <c r="A64" s="240" t="s">
        <v>36</v>
      </c>
      <c r="B64" s="240"/>
      <c r="C64" s="240" t="s">
        <v>530</v>
      </c>
      <c r="E64" s="49" t="s">
        <v>546</v>
      </c>
      <c r="F64" s="9"/>
      <c r="G64" s="9"/>
      <c r="H64" s="9"/>
      <c r="I64" s="9"/>
      <c r="J64" s="9"/>
      <c r="K64" s="9"/>
      <c r="L64" s="9"/>
      <c r="M64" s="9"/>
      <c r="N64" s="10">
        <v>0</v>
      </c>
      <c r="O64" s="10">
        <v>0.1</v>
      </c>
      <c r="P64" s="10">
        <v>0.1</v>
      </c>
    </row>
    <row r="65" spans="1:16" ht="12.75">
      <c r="A65" s="240" t="s">
        <v>36</v>
      </c>
      <c r="B65" s="240"/>
      <c r="C65" s="240"/>
      <c r="E65" s="49" t="s">
        <v>17</v>
      </c>
      <c r="F65" s="9">
        <v>4033</v>
      </c>
      <c r="G65" s="9">
        <v>4475</v>
      </c>
      <c r="H65" s="9">
        <v>1188</v>
      </c>
      <c r="I65" s="9">
        <f>+I53+I58</f>
        <v>3761</v>
      </c>
      <c r="J65" s="9">
        <v>5430</v>
      </c>
      <c r="K65" s="9">
        <v>3017</v>
      </c>
      <c r="L65" s="9">
        <v>4000</v>
      </c>
      <c r="M65" s="9">
        <v>1580</v>
      </c>
      <c r="N65" s="9">
        <v>3581</v>
      </c>
      <c r="O65" s="9">
        <v>2741</v>
      </c>
      <c r="P65" s="9">
        <v>6274</v>
      </c>
    </row>
    <row r="66" spans="1:16" s="90" customFormat="1" ht="12.75">
      <c r="A66" s="243" t="s">
        <v>604</v>
      </c>
      <c r="B66" s="294" t="s">
        <v>285</v>
      </c>
      <c r="C66" s="243" t="s">
        <v>530</v>
      </c>
      <c r="E66" s="159" t="s">
        <v>603</v>
      </c>
      <c r="F66" s="16">
        <v>3.8835605885524997</v>
      </c>
      <c r="G66" s="16">
        <v>4.272810602299202</v>
      </c>
      <c r="H66" s="16">
        <v>1.1336743262844493</v>
      </c>
      <c r="I66" s="16">
        <f>+I65/I62*100</f>
        <v>3.446285232562402</v>
      </c>
      <c r="J66" s="16">
        <v>5.10693527453304</v>
      </c>
      <c r="K66" s="16">
        <v>2.9695466446189887</v>
      </c>
      <c r="L66" s="16">
        <v>3.6</v>
      </c>
      <c r="M66" s="16">
        <f>0.014475359822631*100</f>
        <v>1.4475359822631</v>
      </c>
      <c r="N66" s="16">
        <v>3.193244339816128</v>
      </c>
      <c r="O66" s="16">
        <v>2.2192355336771623</v>
      </c>
      <c r="P66" s="16">
        <v>5.18114176707159</v>
      </c>
    </row>
    <row r="67" spans="1:15" ht="12.75">
      <c r="A67" s="240" t="s">
        <v>38</v>
      </c>
      <c r="B67" s="240"/>
      <c r="C67" s="240"/>
      <c r="E67" s="49"/>
      <c r="F67" s="179"/>
      <c r="G67" s="179"/>
      <c r="H67" s="179"/>
      <c r="I67" s="179"/>
      <c r="J67" s="179"/>
      <c r="K67" s="179"/>
      <c r="L67" s="179"/>
      <c r="M67" s="179"/>
      <c r="N67" s="179"/>
      <c r="O67" s="179"/>
    </row>
    <row r="68" spans="1:5" ht="105">
      <c r="A68" s="240" t="s">
        <v>76</v>
      </c>
      <c r="B68" s="240"/>
      <c r="C68" s="240"/>
      <c r="E68" s="213" t="s">
        <v>519</v>
      </c>
    </row>
  </sheetData>
  <sheetProtection/>
  <printOptions/>
  <pageMargins left="0.75" right="0.75" top="1" bottom="1" header="0.5" footer="0.5"/>
  <pageSetup fitToHeight="2" fitToWidth="2"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46.421875" style="89" hidden="1" customWidth="1"/>
    <col min="5" max="5" width="38.7109375" style="89" customWidth="1"/>
    <col min="6" max="8" width="9.28125" style="89" customWidth="1"/>
    <col min="9" max="9" width="9.140625" style="89" customWidth="1"/>
    <col min="10" max="16384" width="9.140625" style="89" customWidth="1"/>
  </cols>
  <sheetData>
    <row r="1" spans="1:12" ht="17.25">
      <c r="A1" s="249">
        <v>42735</v>
      </c>
      <c r="B1" s="97" t="s">
        <v>141</v>
      </c>
      <c r="C1" s="98"/>
      <c r="D1" s="99" t="str">
        <f>Company</f>
        <v>AB Electrolux</v>
      </c>
      <c r="E1" s="99" t="str">
        <f>Company</f>
        <v>AB Electrolux</v>
      </c>
      <c r="L1" s="177"/>
    </row>
    <row r="2" spans="1:12" ht="12.75">
      <c r="A2" s="250"/>
      <c r="B2" s="97" t="s">
        <v>143</v>
      </c>
      <c r="C2" s="98"/>
      <c r="D2" s="100">
        <f>A1</f>
        <v>42735</v>
      </c>
      <c r="E2" s="101">
        <f>+'Income_statement-Y'!E2</f>
        <v>42004</v>
      </c>
      <c r="L2" s="177"/>
    </row>
    <row r="3" spans="1:8" ht="12.75">
      <c r="A3" s="250"/>
      <c r="B3" s="97" t="s">
        <v>144</v>
      </c>
      <c r="C3" s="98" t="s">
        <v>145</v>
      </c>
      <c r="D3" s="102" t="s">
        <v>146</v>
      </c>
      <c r="E3" s="102" t="s">
        <v>147</v>
      </c>
      <c r="F3" s="40"/>
      <c r="G3" s="40"/>
      <c r="H3" s="40"/>
    </row>
    <row r="4" spans="1:8" ht="12.75">
      <c r="A4" s="240" t="s">
        <v>34</v>
      </c>
      <c r="B4" s="97" t="s">
        <v>148</v>
      </c>
      <c r="C4" s="40"/>
      <c r="D4" s="119" t="s">
        <v>380</v>
      </c>
      <c r="E4" s="119" t="s">
        <v>380</v>
      </c>
      <c r="F4" s="34"/>
      <c r="G4" s="40"/>
      <c r="H4" s="40"/>
    </row>
    <row r="5" spans="2:14" ht="12.75">
      <c r="B5" s="97" t="s">
        <v>150</v>
      </c>
      <c r="C5" s="103" t="s">
        <v>284</v>
      </c>
      <c r="D5" s="40"/>
      <c r="E5" s="119"/>
      <c r="F5" s="34"/>
      <c r="G5" s="40"/>
      <c r="H5" s="40"/>
      <c r="K5" s="173"/>
      <c r="L5" s="173"/>
      <c r="M5" s="173"/>
      <c r="N5" s="173"/>
    </row>
    <row r="6" spans="1:16"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42965</v>
      </c>
      <c r="G8" s="9">
        <v>44015</v>
      </c>
      <c r="H8" s="9">
        <v>42952</v>
      </c>
      <c r="I8" s="9">
        <v>40500</v>
      </c>
      <c r="J8" s="9">
        <v>36596</v>
      </c>
      <c r="K8" s="9">
        <v>34029</v>
      </c>
      <c r="L8" s="9">
        <v>34278</v>
      </c>
      <c r="M8" s="9">
        <v>33436</v>
      </c>
      <c r="N8" s="9">
        <v>34438</v>
      </c>
      <c r="O8" s="9">
        <v>37179</v>
      </c>
      <c r="P8" s="9">
        <v>37844</v>
      </c>
    </row>
    <row r="9" spans="1:16" ht="12.75">
      <c r="A9" s="240" t="s">
        <v>36</v>
      </c>
      <c r="B9" s="240" t="s">
        <v>39</v>
      </c>
      <c r="C9" s="240" t="s">
        <v>530</v>
      </c>
      <c r="D9" s="40"/>
      <c r="E9" s="49" t="s">
        <v>542</v>
      </c>
      <c r="F9" s="9"/>
      <c r="G9" s="9"/>
      <c r="H9" s="9"/>
      <c r="I9" s="9"/>
      <c r="J9" s="9"/>
      <c r="K9" s="9"/>
      <c r="L9" s="9"/>
      <c r="M9" s="9"/>
      <c r="N9" s="10">
        <v>-0.2</v>
      </c>
      <c r="O9" s="10">
        <v>4.4</v>
      </c>
      <c r="P9" s="10">
        <v>3.5</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2575</v>
      </c>
      <c r="G11" s="9">
        <v>1861</v>
      </c>
      <c r="H11" s="9">
        <v>-303</v>
      </c>
      <c r="I11" s="9">
        <v>1912</v>
      </c>
      <c r="J11" s="9">
        <v>2297</v>
      </c>
      <c r="K11" s="9">
        <v>675</v>
      </c>
      <c r="L11" s="9">
        <v>178</v>
      </c>
      <c r="M11" s="9">
        <v>-481</v>
      </c>
      <c r="N11" s="9">
        <v>232</v>
      </c>
      <c r="O11" s="9">
        <v>2167</v>
      </c>
      <c r="P11" s="10">
        <v>2546</v>
      </c>
    </row>
    <row r="12" spans="1:16" ht="12.75">
      <c r="A12" s="240" t="s">
        <v>36</v>
      </c>
      <c r="B12" s="255" t="s">
        <v>285</v>
      </c>
      <c r="C12" s="240" t="s">
        <v>530</v>
      </c>
      <c r="D12" s="40"/>
      <c r="E12" s="49" t="s">
        <v>531</v>
      </c>
      <c r="F12" s="10">
        <v>5.99325032002793</v>
      </c>
      <c r="G12" s="10">
        <v>4.228104055435647</v>
      </c>
      <c r="H12" s="10">
        <v>-0.7054386291674427</v>
      </c>
      <c r="I12" s="10">
        <v>4.720987654320988</v>
      </c>
      <c r="J12" s="10">
        <v>6.3</v>
      </c>
      <c r="K12" s="10">
        <v>1.9836022216344882</v>
      </c>
      <c r="L12" s="10">
        <v>0.5192835054553941</v>
      </c>
      <c r="M12" s="10">
        <v>-1.4385692068429239</v>
      </c>
      <c r="N12" s="10">
        <v>0.6736744294093734</v>
      </c>
      <c r="O12" s="10">
        <v>5.828559132843809</v>
      </c>
      <c r="P12" s="10">
        <v>6.727618644963535</v>
      </c>
    </row>
    <row r="13" spans="1:16" ht="12.75">
      <c r="A13" s="240" t="s">
        <v>36</v>
      </c>
      <c r="B13" s="240" t="s">
        <v>39</v>
      </c>
      <c r="C13" s="240"/>
      <c r="D13" s="40"/>
      <c r="E13" s="49" t="s">
        <v>249</v>
      </c>
      <c r="F13" s="9"/>
      <c r="G13" s="9"/>
      <c r="H13" s="9"/>
      <c r="I13" s="9"/>
      <c r="J13" s="9">
        <v>6813</v>
      </c>
      <c r="K13" s="9">
        <v>9450</v>
      </c>
      <c r="L13" s="9">
        <v>8733</v>
      </c>
      <c r="M13" s="9">
        <v>6582</v>
      </c>
      <c r="N13" s="9">
        <v>4340</v>
      </c>
      <c r="O13" s="9">
        <v>2420</v>
      </c>
      <c r="P13" s="10">
        <v>860</v>
      </c>
    </row>
    <row r="14" spans="1:16" ht="12.75">
      <c r="A14" s="240" t="s">
        <v>36</v>
      </c>
      <c r="B14" s="240" t="s">
        <v>39</v>
      </c>
      <c r="C14" s="240" t="s">
        <v>530</v>
      </c>
      <c r="D14" s="40"/>
      <c r="E14" s="49" t="s">
        <v>552</v>
      </c>
      <c r="F14" s="10"/>
      <c r="G14" s="10"/>
      <c r="H14" s="10"/>
      <c r="I14" s="10"/>
      <c r="J14" s="10">
        <v>31.4</v>
      </c>
      <c r="K14" s="10">
        <v>8.1</v>
      </c>
      <c r="L14" s="10">
        <v>11.6</v>
      </c>
      <c r="M14" s="10">
        <v>3.8</v>
      </c>
      <c r="N14" s="10">
        <v>4.2</v>
      </c>
      <c r="O14" s="10">
        <v>48.9</v>
      </c>
      <c r="P14" s="10">
        <v>101.5</v>
      </c>
    </row>
    <row r="15" spans="1:16" ht="12.75">
      <c r="A15" s="240" t="s">
        <v>36</v>
      </c>
      <c r="B15" s="240" t="s">
        <v>39</v>
      </c>
      <c r="C15" s="240"/>
      <c r="D15" s="40"/>
      <c r="E15" s="49" t="s">
        <v>302</v>
      </c>
      <c r="F15" s="9"/>
      <c r="G15" s="9"/>
      <c r="H15" s="9"/>
      <c r="I15" s="9"/>
      <c r="J15" s="9">
        <v>1409</v>
      </c>
      <c r="K15" s="9">
        <v>1199</v>
      </c>
      <c r="L15" s="9">
        <v>1011</v>
      </c>
      <c r="M15" s="9">
        <v>1294</v>
      </c>
      <c r="N15" s="9">
        <v>977</v>
      </c>
      <c r="O15" s="9">
        <v>1044</v>
      </c>
      <c r="P15" s="10">
        <v>1230</v>
      </c>
    </row>
    <row r="16" spans="1:16" ht="12.75">
      <c r="A16" s="240" t="s">
        <v>36</v>
      </c>
      <c r="B16" s="240" t="s">
        <v>39</v>
      </c>
      <c r="C16" s="240" t="s">
        <v>596</v>
      </c>
      <c r="D16" s="40"/>
      <c r="E16" s="49" t="s">
        <v>130</v>
      </c>
      <c r="F16" s="9"/>
      <c r="G16" s="9"/>
      <c r="H16" s="9"/>
      <c r="I16" s="9"/>
      <c r="J16" s="9">
        <v>19245</v>
      </c>
      <c r="K16" s="9">
        <v>20847</v>
      </c>
      <c r="L16" s="9">
        <v>24479</v>
      </c>
      <c r="M16" s="9">
        <v>23629</v>
      </c>
      <c r="N16" s="9">
        <v>21729</v>
      </c>
      <c r="O16" s="9">
        <v>20767</v>
      </c>
      <c r="P16" s="9">
        <v>20216</v>
      </c>
    </row>
    <row r="17" spans="1:3" ht="12.75">
      <c r="A17" s="240" t="s">
        <v>38</v>
      </c>
      <c r="B17" s="240"/>
      <c r="C17" s="240"/>
    </row>
    <row r="18" spans="1:5" ht="158.25">
      <c r="A18" s="240" t="s">
        <v>76</v>
      </c>
      <c r="B18" s="240"/>
      <c r="C18" s="240"/>
      <c r="E18" s="213" t="s">
        <v>520</v>
      </c>
    </row>
  </sheetData>
  <sheetProtection/>
  <printOptions/>
  <pageMargins left="0.75" right="0.75" top="1" bottom="1" header="0.5" footer="0.5"/>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AS103"/>
  <sheetViews>
    <sheetView zoomScaleSheetLayoutView="100" zoomScalePageLayoutView="0" workbookViewId="0" topLeftCell="A19">
      <selection activeCell="A1" sqref="A1"/>
    </sheetView>
  </sheetViews>
  <sheetFormatPr defaultColWidth="9.140625" defaultRowHeight="12.75"/>
  <cols>
    <col min="1" max="1" width="12.421875" style="92" customWidth="1"/>
    <col min="2" max="2" width="8.7109375" style="92" customWidth="1"/>
    <col min="3" max="3" width="6.8515625" style="221" customWidth="1"/>
    <col min="4" max="4" width="24.57421875" style="92" hidden="1" customWidth="1"/>
    <col min="5" max="5" width="65.7109375" style="92" customWidth="1"/>
    <col min="6" max="15" width="11.00390625" style="92" hidden="1" customWidth="1"/>
    <col min="16" max="16" width="9.28125" style="92" hidden="1" customWidth="1"/>
    <col min="17" max="17" width="10.421875" style="92" hidden="1" customWidth="1"/>
    <col min="18" max="18" width="9.28125" style="92" hidden="1" customWidth="1"/>
    <col min="19" max="25" width="9.140625" style="92" hidden="1" customWidth="1"/>
    <col min="26" max="29" width="9.00390625" style="92" hidden="1" customWidth="1"/>
    <col min="30" max="32" width="9.140625" style="92" hidden="1" customWidth="1"/>
    <col min="33" max="33" width="14.7109375" style="92" hidden="1" customWidth="1"/>
    <col min="34" max="34" width="0" style="92" hidden="1" customWidth="1"/>
    <col min="35" max="16384" width="9.140625" style="92" customWidth="1"/>
  </cols>
  <sheetData>
    <row r="1" spans="1:5" ht="21">
      <c r="A1" s="249">
        <v>42735</v>
      </c>
      <c r="B1" s="97" t="s">
        <v>141</v>
      </c>
      <c r="C1" s="219"/>
      <c r="D1" s="99" t="str">
        <f>Company</f>
        <v>AB Electrolux</v>
      </c>
      <c r="E1" s="99" t="str">
        <f>Company</f>
        <v>AB Electrolux</v>
      </c>
    </row>
    <row r="2" spans="1:33" ht="12.75">
      <c r="A2" s="240"/>
      <c r="B2" s="97" t="s">
        <v>143</v>
      </c>
      <c r="C2" s="219"/>
      <c r="D2" s="100">
        <f>A1</f>
        <v>42735</v>
      </c>
      <c r="E2" s="101">
        <f>A1</f>
        <v>42735</v>
      </c>
      <c r="AG2" s="40"/>
    </row>
    <row r="3" spans="1:5" ht="21">
      <c r="A3" s="240"/>
      <c r="B3" s="97" t="s">
        <v>144</v>
      </c>
      <c r="C3" s="219" t="s">
        <v>145</v>
      </c>
      <c r="D3" s="102" t="s">
        <v>146</v>
      </c>
      <c r="E3" s="102" t="s">
        <v>147</v>
      </c>
    </row>
    <row r="4" spans="1:5" ht="16.5" customHeight="1">
      <c r="A4" s="240" t="s">
        <v>34</v>
      </c>
      <c r="B4" s="97" t="s">
        <v>148</v>
      </c>
      <c r="C4" s="141"/>
      <c r="D4" s="34" t="s">
        <v>340</v>
      </c>
      <c r="E4" s="34" t="s">
        <v>340</v>
      </c>
    </row>
    <row r="5" spans="1:37" ht="16.5" customHeight="1">
      <c r="A5" s="240"/>
      <c r="B5" s="97" t="s">
        <v>150</v>
      </c>
      <c r="C5" s="219" t="s">
        <v>284</v>
      </c>
      <c r="D5" s="34"/>
      <c r="E5" s="90"/>
      <c r="Z5" s="168"/>
      <c r="AA5" s="168"/>
      <c r="AB5" s="168"/>
      <c r="AC5" s="168"/>
      <c r="AD5" s="168"/>
      <c r="AH5" s="172"/>
      <c r="AI5" s="172"/>
      <c r="AJ5" s="172"/>
      <c r="AK5" s="172"/>
    </row>
    <row r="6" spans="1:45" s="153" customFormat="1" ht="17.25" customHeight="1">
      <c r="A6" s="245" t="s">
        <v>35</v>
      </c>
      <c r="B6" s="113" t="s">
        <v>149</v>
      </c>
      <c r="C6" s="220"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row>
    <row r="7" spans="1:5" s="33" customFormat="1" ht="21" customHeight="1">
      <c r="A7" s="238" t="s">
        <v>571</v>
      </c>
      <c r="B7" s="238"/>
      <c r="C7" s="239"/>
      <c r="E7" s="33" t="s">
        <v>31</v>
      </c>
    </row>
    <row r="8" spans="1:45" ht="12.75">
      <c r="A8" s="240" t="s">
        <v>37</v>
      </c>
      <c r="B8" s="240" t="s">
        <v>39</v>
      </c>
      <c r="C8" s="241"/>
      <c r="E8" s="75" t="s">
        <v>10</v>
      </c>
      <c r="F8" s="1">
        <v>24930</v>
      </c>
      <c r="G8" s="1">
        <v>25785</v>
      </c>
      <c r="H8" s="1">
        <v>26374</v>
      </c>
      <c r="I8" s="1">
        <v>27643</v>
      </c>
      <c r="J8" s="1">
        <v>24193</v>
      </c>
      <c r="K8" s="1">
        <v>25587</v>
      </c>
      <c r="L8" s="1">
        <v>26349</v>
      </c>
      <c r="M8" s="1">
        <v>28663</v>
      </c>
      <c r="N8" s="1">
        <v>25818</v>
      </c>
      <c r="O8" s="1">
        <v>27482</v>
      </c>
      <c r="P8" s="1">
        <v>27617</v>
      </c>
      <c r="Q8" s="1">
        <v>28215</v>
      </c>
      <c r="R8" s="1">
        <v>25133</v>
      </c>
      <c r="S8" s="1">
        <v>27311</v>
      </c>
      <c r="T8" s="1">
        <v>26326</v>
      </c>
      <c r="U8" s="1">
        <v>27556</v>
      </c>
      <c r="V8" s="1">
        <v>23436</v>
      </c>
      <c r="W8" s="1">
        <v>24143</v>
      </c>
      <c r="X8" s="1">
        <v>25650</v>
      </c>
      <c r="Y8" s="1">
        <v>28369</v>
      </c>
      <c r="Z8" s="1">
        <v>25875</v>
      </c>
      <c r="AA8" s="1">
        <v>27763</v>
      </c>
      <c r="AB8" s="1">
        <v>27171</v>
      </c>
      <c r="AC8" s="1">
        <v>29185</v>
      </c>
      <c r="AD8" s="1">
        <v>25328</v>
      </c>
      <c r="AE8" s="1">
        <v>27674</v>
      </c>
      <c r="AF8" s="1">
        <v>27258</v>
      </c>
      <c r="AG8" s="1">
        <v>28891</v>
      </c>
      <c r="AH8" s="1">
        <v>25629</v>
      </c>
      <c r="AI8" s="1">
        <v>26330</v>
      </c>
      <c r="AJ8" s="1">
        <v>28784</v>
      </c>
      <c r="AK8" s="1">
        <v>31400</v>
      </c>
      <c r="AL8" s="1">
        <v>29087</v>
      </c>
      <c r="AM8" s="1">
        <v>31355</v>
      </c>
      <c r="AN8" s="1">
        <v>31275</v>
      </c>
      <c r="AO8" s="1">
        <v>31794</v>
      </c>
      <c r="AP8" s="1">
        <v>28114</v>
      </c>
      <c r="AQ8" s="1">
        <v>29983</v>
      </c>
      <c r="AR8" s="1">
        <v>30852</v>
      </c>
      <c r="AS8" s="1">
        <v>32144</v>
      </c>
    </row>
    <row r="9" spans="1:45" ht="12.75">
      <c r="A9" s="240" t="s">
        <v>36</v>
      </c>
      <c r="B9" s="240" t="s">
        <v>39</v>
      </c>
      <c r="C9" s="241"/>
      <c r="E9" s="104" t="s">
        <v>11</v>
      </c>
      <c r="F9" s="2">
        <v>-20553</v>
      </c>
      <c r="G9" s="2">
        <v>-21201</v>
      </c>
      <c r="H9" s="2">
        <v>-21590</v>
      </c>
      <c r="I9" s="2">
        <v>-22122</v>
      </c>
      <c r="J9" s="2">
        <v>-20335</v>
      </c>
      <c r="K9" s="2">
        <v>-20838</v>
      </c>
      <c r="L9" s="2">
        <v>-21493</v>
      </c>
      <c r="M9" s="2">
        <v>-24129</v>
      </c>
      <c r="N9" s="2">
        <v>-21441</v>
      </c>
      <c r="O9" s="2">
        <v>-22145</v>
      </c>
      <c r="P9" s="2">
        <v>-21574</v>
      </c>
      <c r="Q9" s="2">
        <v>-21820</v>
      </c>
      <c r="R9" s="2">
        <v>-19552</v>
      </c>
      <c r="S9" s="2">
        <v>-21308</v>
      </c>
      <c r="T9" s="2">
        <v>-20265</v>
      </c>
      <c r="U9" s="2">
        <v>-21572</v>
      </c>
      <c r="V9" s="2">
        <v>-18990</v>
      </c>
      <c r="W9" s="2">
        <v>-19723</v>
      </c>
      <c r="X9" s="2">
        <v>-20914</v>
      </c>
      <c r="Y9" s="2">
        <v>-23213</v>
      </c>
      <c r="Z9" s="2">
        <v>-21057</v>
      </c>
      <c r="AA9" s="2">
        <v>-22378</v>
      </c>
      <c r="AB9" s="2">
        <v>-21402</v>
      </c>
      <c r="AC9" s="2">
        <v>-22970</v>
      </c>
      <c r="AD9" s="2">
        <v>-20484</v>
      </c>
      <c r="AE9" s="2">
        <v>-22247</v>
      </c>
      <c r="AF9" s="2">
        <v>-21974</v>
      </c>
      <c r="AG9" s="2">
        <v>-23187</v>
      </c>
      <c r="AH9" s="2">
        <v>-20877</v>
      </c>
      <c r="AI9" s="2">
        <v>-22108</v>
      </c>
      <c r="AJ9" s="2">
        <v>-23109</v>
      </c>
      <c r="AK9" s="2">
        <v>-25470</v>
      </c>
      <c r="AL9" s="2">
        <v>-23947</v>
      </c>
      <c r="AM9" s="2">
        <v>-25477</v>
      </c>
      <c r="AN9" s="2">
        <v>-25126</v>
      </c>
      <c r="AO9" s="2">
        <v>-25363</v>
      </c>
      <c r="AP9" s="2">
        <v>-22344</v>
      </c>
      <c r="AQ9" s="2">
        <v>-23636</v>
      </c>
      <c r="AR9" s="2">
        <v>-24252</v>
      </c>
      <c r="AS9" s="2">
        <v>-25588</v>
      </c>
    </row>
    <row r="10" spans="1:45" ht="12.75">
      <c r="A10" s="240" t="s">
        <v>37</v>
      </c>
      <c r="B10" s="240" t="s">
        <v>39</v>
      </c>
      <c r="C10" s="241"/>
      <c r="E10" s="75" t="s">
        <v>12</v>
      </c>
      <c r="F10" s="1">
        <v>4377</v>
      </c>
      <c r="G10" s="1">
        <v>4584</v>
      </c>
      <c r="H10" s="1">
        <v>4784</v>
      </c>
      <c r="I10" s="1">
        <v>5521</v>
      </c>
      <c r="J10" s="1">
        <v>3858</v>
      </c>
      <c r="K10" s="1">
        <v>4749</v>
      </c>
      <c r="L10" s="1">
        <v>4856</v>
      </c>
      <c r="M10" s="1">
        <v>4534</v>
      </c>
      <c r="N10" s="1">
        <v>4377</v>
      </c>
      <c r="O10" s="1">
        <v>5337</v>
      </c>
      <c r="P10" s="1">
        <v>6043</v>
      </c>
      <c r="Q10" s="1">
        <v>6395</v>
      </c>
      <c r="R10" s="1">
        <v>5581</v>
      </c>
      <c r="S10" s="1">
        <v>6003</v>
      </c>
      <c r="T10" s="1">
        <v>6061</v>
      </c>
      <c r="U10" s="1">
        <v>5984</v>
      </c>
      <c r="V10" s="1">
        <v>4446</v>
      </c>
      <c r="W10" s="1">
        <v>4420</v>
      </c>
      <c r="X10" s="1">
        <v>4736</v>
      </c>
      <c r="Y10" s="1">
        <v>5156</v>
      </c>
      <c r="Z10" s="1">
        <v>4818</v>
      </c>
      <c r="AA10" s="1">
        <v>5385</v>
      </c>
      <c r="AB10" s="1">
        <v>5769</v>
      </c>
      <c r="AC10" s="1">
        <v>6215</v>
      </c>
      <c r="AD10" s="1">
        <v>4844</v>
      </c>
      <c r="AE10" s="1">
        <v>5427</v>
      </c>
      <c r="AF10" s="1">
        <v>5284</v>
      </c>
      <c r="AG10" s="1">
        <v>5704</v>
      </c>
      <c r="AH10" s="1">
        <v>4752</v>
      </c>
      <c r="AI10" s="1">
        <v>4222</v>
      </c>
      <c r="AJ10" s="1">
        <v>5675</v>
      </c>
      <c r="AK10" s="1">
        <v>5930</v>
      </c>
      <c r="AL10" s="1">
        <v>5140</v>
      </c>
      <c r="AM10" s="1">
        <v>5878</v>
      </c>
      <c r="AN10" s="1">
        <v>6149</v>
      </c>
      <c r="AO10" s="1">
        <v>6431</v>
      </c>
      <c r="AP10" s="1">
        <v>5770</v>
      </c>
      <c r="AQ10" s="1">
        <v>6347</v>
      </c>
      <c r="AR10" s="1">
        <v>6600</v>
      </c>
      <c r="AS10" s="1">
        <v>6556</v>
      </c>
    </row>
    <row r="11" spans="1:45" ht="12.75">
      <c r="A11" s="240" t="s">
        <v>36</v>
      </c>
      <c r="B11" s="240" t="s">
        <v>39</v>
      </c>
      <c r="C11" s="241"/>
      <c r="E11" s="104" t="s">
        <v>13</v>
      </c>
      <c r="F11" s="2">
        <v>-2519</v>
      </c>
      <c r="G11" s="2">
        <v>-2617</v>
      </c>
      <c r="H11" s="2">
        <v>-2463</v>
      </c>
      <c r="I11" s="2">
        <v>-2620</v>
      </c>
      <c r="J11" s="2">
        <v>-2840</v>
      </c>
      <c r="K11" s="2">
        <v>-2911</v>
      </c>
      <c r="L11" s="2">
        <v>-2624</v>
      </c>
      <c r="M11" s="2">
        <v>-3413</v>
      </c>
      <c r="N11" s="2">
        <v>-2996</v>
      </c>
      <c r="O11" s="2">
        <v>-3093</v>
      </c>
      <c r="P11" s="2">
        <v>-2486</v>
      </c>
      <c r="Q11" s="2">
        <v>-2819</v>
      </c>
      <c r="R11" s="2">
        <v>-2902</v>
      </c>
      <c r="S11" s="2">
        <v>-3070</v>
      </c>
      <c r="T11" s="2">
        <v>-2814</v>
      </c>
      <c r="U11" s="2">
        <v>-2912</v>
      </c>
      <c r="V11" s="2">
        <v>-2549</v>
      </c>
      <c r="W11" s="2">
        <v>-2745</v>
      </c>
      <c r="X11" s="2">
        <v>-2589</v>
      </c>
      <c r="Y11" s="2">
        <v>-2938</v>
      </c>
      <c r="Z11" s="2">
        <v>-2628</v>
      </c>
      <c r="AA11" s="2">
        <v>-3019</v>
      </c>
      <c r="AB11" s="2">
        <v>-2799</v>
      </c>
      <c r="AC11" s="2">
        <v>-3227</v>
      </c>
      <c r="AD11" s="2">
        <v>-2666</v>
      </c>
      <c r="AE11" s="2">
        <v>-2988</v>
      </c>
      <c r="AF11" s="2">
        <v>-2761</v>
      </c>
      <c r="AG11" s="2">
        <v>-3149</v>
      </c>
      <c r="AH11" s="2">
        <v>-2693</v>
      </c>
      <c r="AI11" s="2">
        <v>-2895</v>
      </c>
      <c r="AJ11" s="2">
        <v>-2919</v>
      </c>
      <c r="AK11" s="2">
        <v>-3140</v>
      </c>
      <c r="AL11" s="2">
        <v>-3090</v>
      </c>
      <c r="AM11" s="2">
        <v>-3177</v>
      </c>
      <c r="AN11" s="2">
        <v>-3103</v>
      </c>
      <c r="AO11" s="2">
        <v>-3349</v>
      </c>
      <c r="AP11" s="2">
        <v>-3026</v>
      </c>
      <c r="AQ11" s="2">
        <v>-3246</v>
      </c>
      <c r="AR11" s="2">
        <v>-3350</v>
      </c>
      <c r="AS11" s="2">
        <v>-3586</v>
      </c>
    </row>
    <row r="12" spans="1:45" ht="12.75">
      <c r="A12" s="240" t="s">
        <v>36</v>
      </c>
      <c r="B12" s="240" t="s">
        <v>39</v>
      </c>
      <c r="C12" s="241"/>
      <c r="E12" s="104" t="s">
        <v>14</v>
      </c>
      <c r="F12" s="2">
        <v>-1103</v>
      </c>
      <c r="G12" s="2">
        <v>-1052</v>
      </c>
      <c r="H12" s="2">
        <v>-1162</v>
      </c>
      <c r="I12" s="2">
        <v>-1100</v>
      </c>
      <c r="J12" s="2">
        <v>-1226</v>
      </c>
      <c r="K12" s="2">
        <v>-1042</v>
      </c>
      <c r="L12" s="2">
        <v>-1031</v>
      </c>
      <c r="M12" s="2">
        <v>-1540</v>
      </c>
      <c r="N12" s="2">
        <v>-1346</v>
      </c>
      <c r="O12" s="2">
        <v>-1213</v>
      </c>
      <c r="P12" s="2">
        <v>-1310</v>
      </c>
      <c r="Q12" s="2">
        <v>-1506</v>
      </c>
      <c r="R12" s="2">
        <v>-1340</v>
      </c>
      <c r="S12" s="2">
        <v>-1468</v>
      </c>
      <c r="T12" s="2">
        <v>-1272</v>
      </c>
      <c r="U12" s="2">
        <v>-1348</v>
      </c>
      <c r="V12" s="2">
        <v>-1283</v>
      </c>
      <c r="W12" s="2">
        <v>-1018</v>
      </c>
      <c r="X12" s="2">
        <v>-1049</v>
      </c>
      <c r="Y12" s="2">
        <v>-1622</v>
      </c>
      <c r="Z12" s="2">
        <v>-1284</v>
      </c>
      <c r="AA12" s="2">
        <v>-1311</v>
      </c>
      <c r="AB12" s="2">
        <v>-1544</v>
      </c>
      <c r="AC12" s="2">
        <v>-1402</v>
      </c>
      <c r="AD12" s="2">
        <v>-1460</v>
      </c>
      <c r="AE12" s="2">
        <v>-1397</v>
      </c>
      <c r="AF12" s="2">
        <v>-1439</v>
      </c>
      <c r="AG12" s="2">
        <v>-1350</v>
      </c>
      <c r="AH12" s="2">
        <v>-1258</v>
      </c>
      <c r="AI12" s="2">
        <v>-1392</v>
      </c>
      <c r="AJ12" s="2">
        <v>-1352</v>
      </c>
      <c r="AK12" s="2">
        <v>-1452</v>
      </c>
      <c r="AL12" s="2">
        <v>-1447</v>
      </c>
      <c r="AM12" s="2">
        <v>-1526</v>
      </c>
      <c r="AN12" s="2">
        <v>-1481</v>
      </c>
      <c r="AO12" s="2">
        <v>-1565</v>
      </c>
      <c r="AP12" s="2">
        <v>-1380</v>
      </c>
      <c r="AQ12" s="2">
        <v>-1442</v>
      </c>
      <c r="AR12" s="2">
        <v>-1398</v>
      </c>
      <c r="AS12" s="2">
        <v>-1592</v>
      </c>
    </row>
    <row r="13" spans="1:45" ht="12.75">
      <c r="A13" s="240" t="s">
        <v>36</v>
      </c>
      <c r="B13" s="240" t="s">
        <v>39</v>
      </c>
      <c r="C13" s="241"/>
      <c r="E13" s="29" t="s">
        <v>15</v>
      </c>
      <c r="F13" s="2">
        <v>2</v>
      </c>
      <c r="G13" s="2">
        <v>6</v>
      </c>
      <c r="H13" s="2">
        <v>-7</v>
      </c>
      <c r="I13" s="2">
        <v>206</v>
      </c>
      <c r="J13" s="2">
        <v>169</v>
      </c>
      <c r="K13" s="2">
        <v>-3</v>
      </c>
      <c r="L13" s="2">
        <v>-23</v>
      </c>
      <c r="M13" s="2">
        <v>30</v>
      </c>
      <c r="N13" s="2">
        <v>3</v>
      </c>
      <c r="O13" s="2">
        <v>-4</v>
      </c>
      <c r="P13" s="2">
        <v>-13</v>
      </c>
      <c r="Q13" s="2">
        <v>-47</v>
      </c>
      <c r="R13" s="2">
        <v>-13</v>
      </c>
      <c r="S13" s="2">
        <v>12</v>
      </c>
      <c r="T13" s="2">
        <v>2</v>
      </c>
      <c r="U13" s="2">
        <v>-10</v>
      </c>
      <c r="V13" s="2">
        <v>82</v>
      </c>
      <c r="W13" s="2">
        <v>88</v>
      </c>
      <c r="X13" s="2">
        <v>0</v>
      </c>
      <c r="Y13" s="2">
        <v>20</v>
      </c>
      <c r="Z13" s="2">
        <v>1</v>
      </c>
      <c r="AA13" s="2">
        <v>57</v>
      </c>
      <c r="AB13" s="2">
        <v>-3</v>
      </c>
      <c r="AC13" s="2">
        <v>4</v>
      </c>
      <c r="AD13" s="2">
        <v>2</v>
      </c>
      <c r="AE13" s="2">
        <v>-5</v>
      </c>
      <c r="AF13" s="2">
        <v>-9</v>
      </c>
      <c r="AG13" s="2">
        <v>18</v>
      </c>
      <c r="AH13" s="2">
        <v>-70</v>
      </c>
      <c r="AI13" s="2">
        <v>128</v>
      </c>
      <c r="AJ13" s="2">
        <v>-12</v>
      </c>
      <c r="AK13" s="2">
        <v>57</v>
      </c>
      <c r="AL13" s="2">
        <v>-87</v>
      </c>
      <c r="AM13" s="2">
        <v>-254</v>
      </c>
      <c r="AN13" s="2">
        <v>-59</v>
      </c>
      <c r="AO13" s="2">
        <v>-1719</v>
      </c>
      <c r="AP13" s="2">
        <v>-96</v>
      </c>
      <c r="AQ13" s="2">
        <v>-95</v>
      </c>
      <c r="AR13" s="2">
        <v>-26</v>
      </c>
      <c r="AS13" s="2">
        <v>238</v>
      </c>
    </row>
    <row r="14" spans="1:45" ht="12.75">
      <c r="A14" s="240" t="s">
        <v>36</v>
      </c>
      <c r="B14" s="240"/>
      <c r="C14" s="241"/>
      <c r="E14" s="176" t="s">
        <v>454</v>
      </c>
      <c r="F14" s="2">
        <v>0</v>
      </c>
      <c r="G14" s="2">
        <v>-31</v>
      </c>
      <c r="H14" s="2">
        <v>0</v>
      </c>
      <c r="I14" s="2">
        <v>-331</v>
      </c>
      <c r="J14" s="2">
        <v>34</v>
      </c>
      <c r="K14" s="2">
        <v>-539</v>
      </c>
      <c r="L14" s="2">
        <v>108</v>
      </c>
      <c r="M14" s="2">
        <v>42</v>
      </c>
      <c r="N14" s="2">
        <v>-424</v>
      </c>
      <c r="O14" s="2">
        <v>25</v>
      </c>
      <c r="P14" s="2">
        <v>56</v>
      </c>
      <c r="Q14" s="2">
        <v>-1218</v>
      </c>
      <c r="R14" s="2">
        <v>-95</v>
      </c>
      <c r="S14" s="2">
        <v>-207</v>
      </c>
      <c r="T14" s="2">
        <v>0</v>
      </c>
      <c r="U14" s="2">
        <v>-762</v>
      </c>
      <c r="V14" s="2">
        <v>0</v>
      </c>
      <c r="W14" s="2">
        <v>0</v>
      </c>
      <c r="X14" s="2">
        <v>-34</v>
      </c>
      <c r="Y14" s="2">
        <v>-104</v>
      </c>
      <c r="Z14" s="2">
        <v>0</v>
      </c>
      <c r="AA14" s="2">
        <v>0</v>
      </c>
      <c r="AB14" s="2">
        <v>0</v>
      </c>
      <c r="AC14" s="2">
        <v>-1032</v>
      </c>
      <c r="AD14" s="2">
        <v>-82</v>
      </c>
      <c r="AE14" s="2">
        <v>0</v>
      </c>
      <c r="AF14" s="2">
        <v>0</v>
      </c>
      <c r="AG14" s="2">
        <v>-2393</v>
      </c>
      <c r="AH14" s="2"/>
      <c r="AI14" s="2"/>
      <c r="AJ14" s="2"/>
      <c r="AK14" s="2"/>
      <c r="AL14" s="2"/>
      <c r="AM14" s="2"/>
      <c r="AN14" s="2"/>
      <c r="AO14" s="2"/>
      <c r="AP14" s="2"/>
      <c r="AQ14" s="2"/>
      <c r="AR14" s="2"/>
      <c r="AS14" s="2"/>
    </row>
    <row r="15" spans="1:45" ht="12.75">
      <c r="A15" s="240" t="s">
        <v>37</v>
      </c>
      <c r="B15" s="240" t="s">
        <v>39</v>
      </c>
      <c r="C15" s="241"/>
      <c r="E15" s="77" t="s">
        <v>17</v>
      </c>
      <c r="F15" s="1">
        <v>757</v>
      </c>
      <c r="G15" s="1">
        <v>890</v>
      </c>
      <c r="H15" s="1">
        <v>1152</v>
      </c>
      <c r="I15" s="1">
        <v>1676</v>
      </c>
      <c r="J15" s="1">
        <v>-5</v>
      </c>
      <c r="K15" s="1">
        <v>254</v>
      </c>
      <c r="L15" s="1">
        <v>1286</v>
      </c>
      <c r="M15" s="1">
        <v>-347</v>
      </c>
      <c r="N15" s="1">
        <v>-386</v>
      </c>
      <c r="O15" s="1">
        <v>1052</v>
      </c>
      <c r="P15" s="1">
        <v>2290</v>
      </c>
      <c r="Q15" s="1">
        <v>805</v>
      </c>
      <c r="R15" s="1">
        <v>1231</v>
      </c>
      <c r="S15" s="1">
        <v>1270</v>
      </c>
      <c r="T15" s="1">
        <v>1977</v>
      </c>
      <c r="U15" s="1">
        <v>952</v>
      </c>
      <c r="V15" s="1">
        <v>696</v>
      </c>
      <c r="W15" s="1">
        <v>745</v>
      </c>
      <c r="X15" s="1">
        <v>1064</v>
      </c>
      <c r="Y15" s="1">
        <v>512</v>
      </c>
      <c r="Z15" s="1">
        <v>907</v>
      </c>
      <c r="AA15" s="1">
        <v>1112</v>
      </c>
      <c r="AB15" s="1">
        <v>1423</v>
      </c>
      <c r="AC15" s="1">
        <v>558</v>
      </c>
      <c r="AD15" s="1">
        <v>638</v>
      </c>
      <c r="AE15" s="1">
        <v>1037</v>
      </c>
      <c r="AF15" s="1">
        <v>1075</v>
      </c>
      <c r="AG15" s="1">
        <v>-1170</v>
      </c>
      <c r="AH15" s="1">
        <v>731</v>
      </c>
      <c r="AI15" s="1">
        <v>63</v>
      </c>
      <c r="AJ15" s="1">
        <v>1392</v>
      </c>
      <c r="AK15" s="1">
        <v>1395</v>
      </c>
      <c r="AL15" s="1">
        <v>516</v>
      </c>
      <c r="AM15" s="1">
        <v>921</v>
      </c>
      <c r="AN15" s="1">
        <v>1506</v>
      </c>
      <c r="AO15" s="1">
        <v>-202</v>
      </c>
      <c r="AP15" s="1">
        <v>1268</v>
      </c>
      <c r="AQ15" s="1">
        <v>1564</v>
      </c>
      <c r="AR15" s="1">
        <v>1826</v>
      </c>
      <c r="AS15" s="1">
        <v>1616</v>
      </c>
    </row>
    <row r="16" spans="1:45" ht="12.75">
      <c r="A16" s="240" t="s">
        <v>36</v>
      </c>
      <c r="B16" s="242" t="s">
        <v>285</v>
      </c>
      <c r="C16" s="241" t="s">
        <v>530</v>
      </c>
      <c r="E16" s="53" t="s">
        <v>531</v>
      </c>
      <c r="F16" s="3">
        <v>3.036502206177296</v>
      </c>
      <c r="G16" s="3">
        <v>3.451619158425441</v>
      </c>
      <c r="H16" s="3">
        <v>4.367938120876621</v>
      </c>
      <c r="I16" s="3">
        <v>6.063017762182107</v>
      </c>
      <c r="J16" s="3">
        <v>-0.020667135121729425</v>
      </c>
      <c r="K16" s="3">
        <v>0.9926916012037363</v>
      </c>
      <c r="L16" s="3">
        <v>4.8806406315230175</v>
      </c>
      <c r="M16" s="3">
        <v>-1.2106199630185257</v>
      </c>
      <c r="N16" s="3">
        <v>-1.4950809512743048</v>
      </c>
      <c r="O16" s="3">
        <v>3.8279601193508475</v>
      </c>
      <c r="P16" s="3">
        <v>8.291994061628708</v>
      </c>
      <c r="Q16" s="3">
        <v>2.853092326776537</v>
      </c>
      <c r="R16" s="3">
        <v>4.897942943540365</v>
      </c>
      <c r="S16" s="3">
        <v>4.650140968840394</v>
      </c>
      <c r="T16" s="3">
        <v>7.509686241738206</v>
      </c>
      <c r="U16" s="3">
        <v>3.4547829873711717</v>
      </c>
      <c r="V16" s="3">
        <v>2.9697900665642605</v>
      </c>
      <c r="W16" s="3">
        <v>3.085780557511494</v>
      </c>
      <c r="X16" s="3">
        <v>4.148148148148148</v>
      </c>
      <c r="Y16" s="3">
        <v>1.8047869152948641</v>
      </c>
      <c r="Z16" s="3">
        <v>3.5053140096618356</v>
      </c>
      <c r="AA16" s="3">
        <v>4.005330836004754</v>
      </c>
      <c r="AB16" s="3">
        <v>5.237201427993081</v>
      </c>
      <c r="AC16" s="3">
        <v>1.9119410656158984</v>
      </c>
      <c r="AD16" s="3">
        <v>2.5189513581806695</v>
      </c>
      <c r="AE16" s="3">
        <v>3.747199537471995</v>
      </c>
      <c r="AF16" s="3">
        <v>3.9437963166776724</v>
      </c>
      <c r="AG16" s="3">
        <v>-4.049704060087916</v>
      </c>
      <c r="AH16" s="3">
        <v>2.8522376994810568</v>
      </c>
      <c r="AI16" s="3">
        <v>0.23927079377136345</v>
      </c>
      <c r="AJ16" s="3">
        <v>4.836020011117288</v>
      </c>
      <c r="AK16" s="3">
        <v>4.442675159235669</v>
      </c>
      <c r="AL16" s="3">
        <v>1.7739883796885205</v>
      </c>
      <c r="AM16" s="3">
        <v>2.937330569287195</v>
      </c>
      <c r="AN16" s="3">
        <v>4.815347721822541</v>
      </c>
      <c r="AO16" s="3">
        <v>-0.6353400012580991</v>
      </c>
      <c r="AP16" s="3">
        <v>4.510208437077613</v>
      </c>
      <c r="AQ16" s="3">
        <v>5.216289230563986</v>
      </c>
      <c r="AR16" s="3">
        <v>5.918579022429664</v>
      </c>
      <c r="AS16" s="3">
        <v>5.027376804380289</v>
      </c>
    </row>
    <row r="17" spans="1:45" ht="12.75">
      <c r="A17" s="240" t="s">
        <v>36</v>
      </c>
      <c r="B17" s="240" t="s">
        <v>39</v>
      </c>
      <c r="C17" s="241"/>
      <c r="E17" s="29" t="s">
        <v>18</v>
      </c>
      <c r="F17" s="2">
        <v>-87</v>
      </c>
      <c r="G17" s="2">
        <v>-138</v>
      </c>
      <c r="H17" s="2">
        <v>-115</v>
      </c>
      <c r="I17" s="2">
        <v>-100</v>
      </c>
      <c r="J17" s="2">
        <v>-144</v>
      </c>
      <c r="K17" s="2">
        <v>-114</v>
      </c>
      <c r="L17" s="2">
        <v>-94</v>
      </c>
      <c r="M17" s="2">
        <v>-183</v>
      </c>
      <c r="N17" s="2">
        <v>-107</v>
      </c>
      <c r="O17" s="2">
        <v>-120</v>
      </c>
      <c r="P17" s="2">
        <v>-46</v>
      </c>
      <c r="Q17" s="2">
        <v>-4</v>
      </c>
      <c r="R17" s="2">
        <v>-20</v>
      </c>
      <c r="S17" s="2">
        <v>-1</v>
      </c>
      <c r="T17" s="2">
        <v>-76</v>
      </c>
      <c r="U17" s="2">
        <v>-27</v>
      </c>
      <c r="V17" s="2">
        <v>-59</v>
      </c>
      <c r="W17" s="2">
        <v>-49</v>
      </c>
      <c r="X17" s="2">
        <v>55</v>
      </c>
      <c r="Y17" s="2">
        <v>-184</v>
      </c>
      <c r="Z17" s="2">
        <v>-195</v>
      </c>
      <c r="AA17" s="2">
        <v>-202</v>
      </c>
      <c r="AB17" s="2">
        <v>-253</v>
      </c>
      <c r="AC17" s="2">
        <v>-196</v>
      </c>
      <c r="AD17" s="2">
        <v>-155</v>
      </c>
      <c r="AE17" s="2">
        <v>-178</v>
      </c>
      <c r="AF17" s="2">
        <v>-191</v>
      </c>
      <c r="AG17" s="2">
        <v>-152</v>
      </c>
      <c r="AH17" s="2">
        <v>-156</v>
      </c>
      <c r="AI17" s="2">
        <v>-183</v>
      </c>
      <c r="AJ17" s="2">
        <v>-142</v>
      </c>
      <c r="AK17" s="2">
        <v>-103</v>
      </c>
      <c r="AL17" s="2">
        <v>-66</v>
      </c>
      <c r="AM17" s="2">
        <v>-106</v>
      </c>
      <c r="AN17" s="2">
        <v>-145</v>
      </c>
      <c r="AO17" s="2">
        <v>-323</v>
      </c>
      <c r="AP17" s="2">
        <v>-105</v>
      </c>
      <c r="AQ17" s="2">
        <v>-116</v>
      </c>
      <c r="AR17" s="2">
        <v>-101</v>
      </c>
      <c r="AS17" s="2">
        <v>-371</v>
      </c>
    </row>
    <row r="18" spans="1:45" ht="12.75">
      <c r="A18" s="240" t="s">
        <v>37</v>
      </c>
      <c r="B18" s="240" t="s">
        <v>39</v>
      </c>
      <c r="C18" s="241"/>
      <c r="E18" s="75" t="s">
        <v>19</v>
      </c>
      <c r="F18" s="1">
        <v>670</v>
      </c>
      <c r="G18" s="1">
        <v>752</v>
      </c>
      <c r="H18" s="1">
        <v>1037</v>
      </c>
      <c r="I18" s="1">
        <v>1576</v>
      </c>
      <c r="J18" s="1">
        <v>-149</v>
      </c>
      <c r="K18" s="1">
        <v>140</v>
      </c>
      <c r="L18" s="1">
        <v>1192</v>
      </c>
      <c r="M18" s="1">
        <v>-530</v>
      </c>
      <c r="N18" s="1">
        <v>-493</v>
      </c>
      <c r="O18" s="1">
        <v>932</v>
      </c>
      <c r="P18" s="1">
        <v>2244</v>
      </c>
      <c r="Q18" s="1">
        <v>801</v>
      </c>
      <c r="R18" s="1">
        <v>1211</v>
      </c>
      <c r="S18" s="1">
        <v>1269</v>
      </c>
      <c r="T18" s="1">
        <v>1901</v>
      </c>
      <c r="U18" s="1">
        <v>925</v>
      </c>
      <c r="V18" s="1">
        <v>637</v>
      </c>
      <c r="W18" s="1">
        <v>696</v>
      </c>
      <c r="X18" s="1">
        <v>1119</v>
      </c>
      <c r="Y18" s="1">
        <v>328</v>
      </c>
      <c r="Z18" s="1">
        <v>712</v>
      </c>
      <c r="AA18" s="1">
        <v>910</v>
      </c>
      <c r="AB18" s="1">
        <v>1170</v>
      </c>
      <c r="AC18" s="1">
        <v>362</v>
      </c>
      <c r="AD18" s="1">
        <v>483</v>
      </c>
      <c r="AE18" s="1">
        <v>859</v>
      </c>
      <c r="AF18" s="1">
        <v>884</v>
      </c>
      <c r="AG18" s="1">
        <v>-1322</v>
      </c>
      <c r="AH18" s="1">
        <v>575</v>
      </c>
      <c r="AI18" s="1">
        <v>-120</v>
      </c>
      <c r="AJ18" s="1">
        <v>1250</v>
      </c>
      <c r="AK18" s="1">
        <v>1292</v>
      </c>
      <c r="AL18" s="1">
        <v>450</v>
      </c>
      <c r="AM18" s="1">
        <v>815</v>
      </c>
      <c r="AN18" s="1">
        <v>1361</v>
      </c>
      <c r="AO18" s="1">
        <v>-525</v>
      </c>
      <c r="AP18" s="1">
        <v>1163</v>
      </c>
      <c r="AQ18" s="1">
        <v>1448</v>
      </c>
      <c r="AR18" s="1">
        <v>1725</v>
      </c>
      <c r="AS18" s="1">
        <v>1245</v>
      </c>
    </row>
    <row r="19" spans="1:45" ht="12.75">
      <c r="A19" s="240" t="s">
        <v>36</v>
      </c>
      <c r="B19" s="240"/>
      <c r="C19" s="241" t="s">
        <v>530</v>
      </c>
      <c r="E19" s="53" t="s">
        <v>532</v>
      </c>
      <c r="F19" s="3">
        <v>2.6875250701965503</v>
      </c>
      <c r="G19" s="3">
        <v>2.916424277680822</v>
      </c>
      <c r="H19" s="3">
        <v>3.931902631379389</v>
      </c>
      <c r="I19" s="3">
        <v>5.701262525775061</v>
      </c>
      <c r="J19" s="3">
        <v>-0.615880626627537</v>
      </c>
      <c r="K19" s="3">
        <v>0.5471528510571775</v>
      </c>
      <c r="L19" s="3">
        <v>4.523890849747619</v>
      </c>
      <c r="M19" s="3">
        <v>-1.8490737187314656</v>
      </c>
      <c r="N19" s="3">
        <v>-1.9095204895809126</v>
      </c>
      <c r="O19" s="3">
        <v>3.3913106760788883</v>
      </c>
      <c r="P19" s="3">
        <v>8.125429988775029</v>
      </c>
      <c r="Q19" s="3">
        <v>2.8389154704944177</v>
      </c>
      <c r="R19" s="3">
        <v>4.818366291330124</v>
      </c>
      <c r="S19" s="3">
        <v>4.646479440518473</v>
      </c>
      <c r="T19" s="3">
        <v>7.220998252677961</v>
      </c>
      <c r="U19" s="3">
        <v>3.3568006967629556</v>
      </c>
      <c r="V19" s="3">
        <v>2.7180406212664274</v>
      </c>
      <c r="W19" s="3">
        <v>2.8828231785610736</v>
      </c>
      <c r="X19" s="3">
        <v>4.362573099415204</v>
      </c>
      <c r="Y19" s="3">
        <v>1.1561916176107723</v>
      </c>
      <c r="Z19" s="3">
        <v>2.7516908212560387</v>
      </c>
      <c r="AA19" s="3">
        <v>3.2777437596801495</v>
      </c>
      <c r="AB19" s="3">
        <v>4.306061609804571</v>
      </c>
      <c r="AC19" s="3">
        <v>1.2403632002741134</v>
      </c>
      <c r="AD19" s="3">
        <v>1.90698041692988</v>
      </c>
      <c r="AE19" s="3">
        <v>3.1039965310399653</v>
      </c>
      <c r="AF19" s="3">
        <v>3.2430845990168025</v>
      </c>
      <c r="AG19" s="3">
        <v>-4.575819459347201</v>
      </c>
      <c r="AH19" s="3">
        <v>2.2435522259939913</v>
      </c>
      <c r="AI19" s="3">
        <v>-0.45575389289783513</v>
      </c>
      <c r="AJ19" s="3">
        <v>4.342690383546414</v>
      </c>
      <c r="AK19" s="3">
        <v>4.114649681528663</v>
      </c>
      <c r="AL19" s="3">
        <v>1.5470828892632449</v>
      </c>
      <c r="AM19" s="3">
        <v>2.5992664646786796</v>
      </c>
      <c r="AN19" s="3">
        <v>4.35171862509992</v>
      </c>
      <c r="AO19" s="3">
        <v>-1.6512549537648615</v>
      </c>
      <c r="AP19" s="3">
        <v>4.136729031799104</v>
      </c>
      <c r="AQ19" s="3">
        <v>4.829403328552847</v>
      </c>
      <c r="AR19" s="3">
        <v>5.5912096460521195</v>
      </c>
      <c r="AS19" s="3">
        <v>3.873195619711299</v>
      </c>
    </row>
    <row r="20" spans="1:45" ht="12.75">
      <c r="A20" s="240" t="s">
        <v>36</v>
      </c>
      <c r="B20" s="240"/>
      <c r="C20" s="241"/>
      <c r="E20" s="29" t="s">
        <v>20</v>
      </c>
      <c r="F20" s="2">
        <v>-178</v>
      </c>
      <c r="G20" s="2">
        <v>-207</v>
      </c>
      <c r="H20" s="2">
        <v>-275</v>
      </c>
      <c r="I20" s="2">
        <v>-450</v>
      </c>
      <c r="J20" s="2">
        <v>43</v>
      </c>
      <c r="K20" s="2">
        <v>-41</v>
      </c>
      <c r="L20" s="2">
        <v>-345</v>
      </c>
      <c r="M20" s="2">
        <v>56</v>
      </c>
      <c r="N20" s="2">
        <v>147</v>
      </c>
      <c r="O20" s="2">
        <v>-274</v>
      </c>
      <c r="P20" s="2">
        <v>-613</v>
      </c>
      <c r="Q20" s="2">
        <v>-137</v>
      </c>
      <c r="R20" s="2">
        <v>-300</v>
      </c>
      <c r="S20" s="2">
        <v>-241</v>
      </c>
      <c r="T20" s="2">
        <v>-520</v>
      </c>
      <c r="U20" s="2">
        <v>-248</v>
      </c>
      <c r="V20" s="2">
        <v>-180</v>
      </c>
      <c r="W20" s="2">
        <v>-135</v>
      </c>
      <c r="X20" s="2">
        <v>-294</v>
      </c>
      <c r="Y20" s="2">
        <v>-107</v>
      </c>
      <c r="Z20" s="2">
        <v>-213</v>
      </c>
      <c r="AA20" s="2">
        <v>-209</v>
      </c>
      <c r="AB20" s="2">
        <v>-247</v>
      </c>
      <c r="AC20" s="2">
        <v>-120</v>
      </c>
      <c r="AD20" s="2">
        <v>-122</v>
      </c>
      <c r="AE20" s="2">
        <v>-217</v>
      </c>
      <c r="AF20" s="2">
        <v>-228</v>
      </c>
      <c r="AG20" s="2">
        <v>335</v>
      </c>
      <c r="AH20" s="2">
        <v>-144</v>
      </c>
      <c r="AI20" s="2">
        <v>28</v>
      </c>
      <c r="AJ20" s="2">
        <v>-317</v>
      </c>
      <c r="AK20" s="2">
        <v>-322</v>
      </c>
      <c r="AL20" s="2">
        <v>-111</v>
      </c>
      <c r="AM20" s="2">
        <v>-207</v>
      </c>
      <c r="AN20" s="2">
        <v>-347</v>
      </c>
      <c r="AO20" s="2">
        <v>132</v>
      </c>
      <c r="AP20" s="2">
        <v>-288</v>
      </c>
      <c r="AQ20" s="2">
        <v>-369</v>
      </c>
      <c r="AR20" s="2">
        <v>-458</v>
      </c>
      <c r="AS20" s="2">
        <v>27</v>
      </c>
    </row>
    <row r="21" spans="1:45" ht="12.75">
      <c r="A21" s="240" t="s">
        <v>37</v>
      </c>
      <c r="B21" s="240" t="s">
        <v>39</v>
      </c>
      <c r="C21" s="241"/>
      <c r="E21" s="77" t="s">
        <v>21</v>
      </c>
      <c r="F21" s="1">
        <v>492</v>
      </c>
      <c r="G21" s="1">
        <v>545</v>
      </c>
      <c r="H21" s="1">
        <v>762</v>
      </c>
      <c r="I21" s="1">
        <v>1126</v>
      </c>
      <c r="J21" s="1">
        <v>-106</v>
      </c>
      <c r="K21" s="1">
        <v>99</v>
      </c>
      <c r="L21" s="1">
        <v>847</v>
      </c>
      <c r="M21" s="1">
        <v>-474</v>
      </c>
      <c r="N21" s="1">
        <v>-346</v>
      </c>
      <c r="O21" s="1">
        <v>658</v>
      </c>
      <c r="P21" s="1">
        <v>1631</v>
      </c>
      <c r="Q21" s="1">
        <v>664</v>
      </c>
      <c r="R21" s="1">
        <v>911</v>
      </c>
      <c r="S21" s="1">
        <v>1028</v>
      </c>
      <c r="T21" s="1">
        <v>1381</v>
      </c>
      <c r="U21" s="1">
        <v>677</v>
      </c>
      <c r="V21" s="1">
        <v>457</v>
      </c>
      <c r="W21" s="1">
        <v>561</v>
      </c>
      <c r="X21" s="1">
        <v>825</v>
      </c>
      <c r="Y21" s="1">
        <v>221</v>
      </c>
      <c r="Z21" s="1">
        <v>499</v>
      </c>
      <c r="AA21" s="1">
        <v>701</v>
      </c>
      <c r="AB21" s="1">
        <v>923</v>
      </c>
      <c r="AC21" s="1">
        <v>242</v>
      </c>
      <c r="AD21" s="1">
        <v>361</v>
      </c>
      <c r="AE21" s="1">
        <v>642</v>
      </c>
      <c r="AF21" s="1">
        <v>656</v>
      </c>
      <c r="AG21" s="1">
        <v>-987</v>
      </c>
      <c r="AH21" s="1">
        <v>431</v>
      </c>
      <c r="AI21" s="1">
        <v>-92</v>
      </c>
      <c r="AJ21" s="1">
        <v>933</v>
      </c>
      <c r="AK21" s="1">
        <v>970</v>
      </c>
      <c r="AL21" s="1">
        <v>339</v>
      </c>
      <c r="AM21" s="1">
        <v>608</v>
      </c>
      <c r="AN21" s="1">
        <v>1014</v>
      </c>
      <c r="AO21" s="1">
        <v>-393</v>
      </c>
      <c r="AP21" s="1">
        <v>875</v>
      </c>
      <c r="AQ21" s="1">
        <v>1079</v>
      </c>
      <c r="AR21" s="1">
        <v>1267</v>
      </c>
      <c r="AS21" s="1">
        <v>1272</v>
      </c>
    </row>
    <row r="22" spans="1:45" ht="12.75">
      <c r="A22" s="240" t="s">
        <v>38</v>
      </c>
      <c r="B22" s="240"/>
      <c r="C22" s="241"/>
      <c r="E22" s="77"/>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s="33" customFormat="1" ht="12.75">
      <c r="A23" s="238" t="s">
        <v>571</v>
      </c>
      <c r="B23" s="238"/>
      <c r="C23" s="239"/>
      <c r="E23" s="80" t="s">
        <v>423</v>
      </c>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row>
    <row r="24" spans="1:45" ht="12.75">
      <c r="A24" s="240" t="s">
        <v>36</v>
      </c>
      <c r="B24" s="177"/>
      <c r="C24" s="241"/>
      <c r="E24" s="53" t="s">
        <v>472</v>
      </c>
      <c r="F24" s="2"/>
      <c r="G24" s="2"/>
      <c r="H24" s="2"/>
      <c r="I24" s="2"/>
      <c r="J24" s="2"/>
      <c r="K24" s="2"/>
      <c r="L24" s="2"/>
      <c r="M24" s="2"/>
      <c r="N24" s="2"/>
      <c r="O24" s="2"/>
      <c r="P24" s="2"/>
      <c r="Q24" s="2"/>
      <c r="R24" s="2"/>
      <c r="S24" s="2"/>
      <c r="T24" s="2"/>
      <c r="U24" s="2"/>
      <c r="V24" s="2"/>
      <c r="W24" s="2"/>
      <c r="X24" s="2"/>
      <c r="Y24" s="2"/>
      <c r="Z24" s="2">
        <v>1016</v>
      </c>
      <c r="AA24" s="2">
        <v>-1015</v>
      </c>
      <c r="AB24" s="2">
        <v>-265</v>
      </c>
      <c r="AC24" s="2">
        <v>-653</v>
      </c>
      <c r="AD24" s="2">
        <v>730</v>
      </c>
      <c r="AE24" s="2">
        <v>923</v>
      </c>
      <c r="AF24" s="2">
        <v>16</v>
      </c>
      <c r="AG24" s="2">
        <v>182</v>
      </c>
      <c r="AH24" s="2">
        <v>-243</v>
      </c>
      <c r="AI24" s="2">
        <v>-147</v>
      </c>
      <c r="AJ24" s="2">
        <v>-154</v>
      </c>
      <c r="AK24" s="2">
        <v>-990</v>
      </c>
      <c r="AL24" s="2">
        <v>-795</v>
      </c>
      <c r="AM24" s="2">
        <v>1551</v>
      </c>
      <c r="AN24" s="2">
        <v>-696</v>
      </c>
      <c r="AO24" s="2">
        <v>283</v>
      </c>
      <c r="AP24" s="2">
        <v>-1576</v>
      </c>
      <c r="AQ24" s="2">
        <v>-383</v>
      </c>
      <c r="AR24" s="2">
        <v>123</v>
      </c>
      <c r="AS24" s="2">
        <v>1600</v>
      </c>
    </row>
    <row r="25" spans="1:45" ht="12.75">
      <c r="A25" s="240" t="s">
        <v>36</v>
      </c>
      <c r="B25" s="177"/>
      <c r="C25" s="241"/>
      <c r="E25" s="53" t="s">
        <v>424</v>
      </c>
      <c r="F25" s="2"/>
      <c r="G25" s="2"/>
      <c r="H25" s="2"/>
      <c r="I25" s="2"/>
      <c r="J25" s="2"/>
      <c r="K25" s="2"/>
      <c r="L25" s="2"/>
      <c r="M25" s="2"/>
      <c r="N25" s="2"/>
      <c r="O25" s="2"/>
      <c r="P25" s="2"/>
      <c r="Q25" s="2"/>
      <c r="R25" s="2"/>
      <c r="S25" s="2"/>
      <c r="T25" s="2"/>
      <c r="U25" s="2"/>
      <c r="V25" s="2"/>
      <c r="W25" s="2"/>
      <c r="X25" s="2"/>
      <c r="Y25" s="2"/>
      <c r="Z25" s="2">
        <v>-188</v>
      </c>
      <c r="AA25" s="2">
        <v>199</v>
      </c>
      <c r="AB25" s="2">
        <v>50</v>
      </c>
      <c r="AC25" s="2">
        <v>-10</v>
      </c>
      <c r="AD25" s="2">
        <v>-182</v>
      </c>
      <c r="AE25" s="2">
        <v>-228</v>
      </c>
      <c r="AF25" s="2">
        <v>-66</v>
      </c>
      <c r="AG25" s="2">
        <v>-160</v>
      </c>
      <c r="AH25" s="2">
        <v>-3</v>
      </c>
      <c r="AI25" s="2">
        <v>37</v>
      </c>
      <c r="AJ25" s="2">
        <v>431</v>
      </c>
      <c r="AK25" s="2">
        <v>343</v>
      </c>
      <c r="AL25" s="2">
        <v>179</v>
      </c>
      <c r="AM25" s="2">
        <v>-396</v>
      </c>
      <c r="AN25" s="2">
        <v>221</v>
      </c>
      <c r="AO25" s="2">
        <v>-118</v>
      </c>
      <c r="AP25" s="2">
        <v>443</v>
      </c>
      <c r="AQ25" s="2">
        <v>98</v>
      </c>
      <c r="AR25" s="2">
        <v>-45</v>
      </c>
      <c r="AS25" s="2">
        <v>-452</v>
      </c>
    </row>
    <row r="26" spans="1:45" ht="12.75">
      <c r="A26" s="240" t="s">
        <v>37</v>
      </c>
      <c r="B26" s="177"/>
      <c r="C26" s="241"/>
      <c r="E26" s="62" t="s">
        <v>27</v>
      </c>
      <c r="F26" s="2"/>
      <c r="G26" s="2"/>
      <c r="H26" s="2"/>
      <c r="I26" s="2"/>
      <c r="J26" s="2"/>
      <c r="K26" s="2"/>
      <c r="L26" s="2"/>
      <c r="M26" s="2"/>
      <c r="N26" s="2"/>
      <c r="O26" s="2"/>
      <c r="P26" s="2"/>
      <c r="Q26" s="2"/>
      <c r="R26" s="2"/>
      <c r="S26" s="2"/>
      <c r="T26" s="2"/>
      <c r="U26" s="2"/>
      <c r="V26" s="2"/>
      <c r="W26" s="2"/>
      <c r="X26" s="2"/>
      <c r="Y26" s="2"/>
      <c r="Z26" s="2">
        <v>828</v>
      </c>
      <c r="AA26" s="2">
        <v>-816</v>
      </c>
      <c r="AB26" s="2">
        <v>-215</v>
      </c>
      <c r="AC26" s="2">
        <v>-663</v>
      </c>
      <c r="AD26" s="2">
        <v>548</v>
      </c>
      <c r="AE26" s="2">
        <v>695</v>
      </c>
      <c r="AF26" s="2">
        <v>-50</v>
      </c>
      <c r="AG26" s="2">
        <v>22</v>
      </c>
      <c r="AH26" s="2">
        <v>-246</v>
      </c>
      <c r="AI26" s="14">
        <v>-110</v>
      </c>
      <c r="AJ26" s="14">
        <v>277</v>
      </c>
      <c r="AK26" s="14">
        <v>-647</v>
      </c>
      <c r="AL26" s="14">
        <v>-616</v>
      </c>
      <c r="AM26" s="14">
        <v>1155</v>
      </c>
      <c r="AN26" s="14">
        <v>-475</v>
      </c>
      <c r="AO26" s="14">
        <v>165</v>
      </c>
      <c r="AP26" s="14">
        <v>-1133</v>
      </c>
      <c r="AQ26" s="14">
        <v>-285</v>
      </c>
      <c r="AR26" s="14">
        <v>78</v>
      </c>
      <c r="AS26" s="14">
        <v>1148</v>
      </c>
    </row>
    <row r="27" spans="1:45" ht="12.75">
      <c r="A27" s="240" t="s">
        <v>38</v>
      </c>
      <c r="B27" s="177"/>
      <c r="C27" s="241"/>
      <c r="E27" s="5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row>
    <row r="28" spans="1:45" s="33" customFormat="1" ht="12.75">
      <c r="A28" s="238" t="s">
        <v>571</v>
      </c>
      <c r="B28" s="293"/>
      <c r="C28" s="239"/>
      <c r="E28" s="80" t="s">
        <v>422</v>
      </c>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
    </row>
    <row r="29" spans="1:45" ht="12.75">
      <c r="A29" s="240" t="s">
        <v>36</v>
      </c>
      <c r="B29" s="177"/>
      <c r="C29" s="241"/>
      <c r="E29" s="53" t="s">
        <v>455</v>
      </c>
      <c r="F29" s="2">
        <v>21</v>
      </c>
      <c r="G29" s="2">
        <v>17</v>
      </c>
      <c r="H29" s="2">
        <v>-30</v>
      </c>
      <c r="I29" s="2">
        <v>240</v>
      </c>
      <c r="J29" s="2">
        <v>-324</v>
      </c>
      <c r="K29" s="2">
        <v>-33</v>
      </c>
      <c r="L29" s="2">
        <v>-35</v>
      </c>
      <c r="M29" s="2">
        <v>-11</v>
      </c>
      <c r="N29" s="2">
        <v>-16</v>
      </c>
      <c r="O29" s="2">
        <v>90</v>
      </c>
      <c r="P29" s="2">
        <v>55</v>
      </c>
      <c r="Q29" s="2">
        <v>9</v>
      </c>
      <c r="R29" s="2">
        <v>28</v>
      </c>
      <c r="S29" s="2">
        <v>1</v>
      </c>
      <c r="T29" s="2">
        <v>111</v>
      </c>
      <c r="U29" s="2">
        <v>-63</v>
      </c>
      <c r="V29" s="2">
        <v>-58</v>
      </c>
      <c r="W29" s="2">
        <v>6</v>
      </c>
      <c r="X29" s="2">
        <v>-26</v>
      </c>
      <c r="Y29" s="2">
        <v>-13</v>
      </c>
      <c r="Z29" s="2">
        <v>-2</v>
      </c>
      <c r="AA29" s="2">
        <v>-12</v>
      </c>
      <c r="AB29" s="2">
        <v>5</v>
      </c>
      <c r="AC29" s="2">
        <v>32</v>
      </c>
      <c r="AD29" s="2">
        <v>-15</v>
      </c>
      <c r="AE29" s="2">
        <v>1</v>
      </c>
      <c r="AF29" s="2">
        <v>-54</v>
      </c>
      <c r="AG29" s="2">
        <v>-1</v>
      </c>
      <c r="AH29" s="2">
        <v>-5</v>
      </c>
      <c r="AI29" s="2">
        <v>28</v>
      </c>
      <c r="AJ29" s="2">
        <v>-4</v>
      </c>
      <c r="AK29" s="2">
        <v>0</v>
      </c>
      <c r="AL29" s="2">
        <v>10</v>
      </c>
      <c r="AM29" s="2">
        <v>-5</v>
      </c>
      <c r="AN29" s="2">
        <v>-24</v>
      </c>
      <c r="AO29" s="2">
        <v>-20</v>
      </c>
      <c r="AP29" s="2">
        <v>-20</v>
      </c>
      <c r="AQ29" s="2">
        <v>-4</v>
      </c>
      <c r="AR29" s="2">
        <v>6</v>
      </c>
      <c r="AS29" s="224">
        <v>61</v>
      </c>
    </row>
    <row r="30" spans="1:45" ht="12.75">
      <c r="A30" s="240" t="s">
        <v>36</v>
      </c>
      <c r="B30" s="177"/>
      <c r="C30" s="241"/>
      <c r="E30" s="53" t="s">
        <v>456</v>
      </c>
      <c r="F30" s="2">
        <v>18</v>
      </c>
      <c r="G30" s="2">
        <v>-18</v>
      </c>
      <c r="H30" s="2">
        <v>5</v>
      </c>
      <c r="I30" s="2">
        <v>67</v>
      </c>
      <c r="J30" s="2">
        <v>-47</v>
      </c>
      <c r="K30" s="2">
        <v>17</v>
      </c>
      <c r="L30" s="2">
        <v>83</v>
      </c>
      <c r="M30" s="2">
        <v>-32</v>
      </c>
      <c r="N30" s="2">
        <v>-220</v>
      </c>
      <c r="O30" s="2">
        <v>53</v>
      </c>
      <c r="P30" s="2">
        <v>14</v>
      </c>
      <c r="Q30" s="2">
        <v>41</v>
      </c>
      <c r="R30" s="2">
        <v>-36</v>
      </c>
      <c r="S30" s="2">
        <v>-63</v>
      </c>
      <c r="T30" s="2">
        <v>-41</v>
      </c>
      <c r="U30" s="2">
        <v>23</v>
      </c>
      <c r="V30" s="2">
        <v>89</v>
      </c>
      <c r="W30" s="2">
        <v>-40</v>
      </c>
      <c r="X30" s="2">
        <v>90</v>
      </c>
      <c r="Y30" s="2">
        <v>-28</v>
      </c>
      <c r="Z30" s="2">
        <v>3</v>
      </c>
      <c r="AA30" s="2">
        <v>-6</v>
      </c>
      <c r="AB30" s="2">
        <v>0</v>
      </c>
      <c r="AC30" s="2">
        <v>37</v>
      </c>
      <c r="AD30" s="2">
        <v>-3</v>
      </c>
      <c r="AE30" s="2">
        <v>85</v>
      </c>
      <c r="AF30" s="2">
        <v>-133</v>
      </c>
      <c r="AG30" s="2">
        <v>92</v>
      </c>
      <c r="AH30" s="2">
        <v>-83</v>
      </c>
      <c r="AI30" s="2">
        <v>-5</v>
      </c>
      <c r="AJ30" s="2">
        <v>92</v>
      </c>
      <c r="AK30" s="2">
        <v>-34</v>
      </c>
      <c r="AL30" s="2">
        <v>17</v>
      </c>
      <c r="AM30" s="2">
        <v>-66</v>
      </c>
      <c r="AN30" s="2">
        <v>83</v>
      </c>
      <c r="AO30" s="2">
        <v>-62</v>
      </c>
      <c r="AP30" s="2">
        <v>-37</v>
      </c>
      <c r="AQ30" s="2">
        <v>8</v>
      </c>
      <c r="AR30" s="2">
        <v>1</v>
      </c>
      <c r="AS30" s="2">
        <v>-54</v>
      </c>
    </row>
    <row r="31" spans="1:45" ht="12.75">
      <c r="A31" s="240" t="s">
        <v>36</v>
      </c>
      <c r="B31" s="177"/>
      <c r="C31" s="241"/>
      <c r="E31" s="53" t="s">
        <v>462</v>
      </c>
      <c r="F31" s="2">
        <v>719</v>
      </c>
      <c r="G31" s="2">
        <v>-42</v>
      </c>
      <c r="H31" s="2">
        <v>-391</v>
      </c>
      <c r="I31" s="2">
        <v>242</v>
      </c>
      <c r="J31" s="2">
        <v>-741</v>
      </c>
      <c r="K31" s="2">
        <v>675</v>
      </c>
      <c r="L31" s="2">
        <v>755</v>
      </c>
      <c r="M31" s="2">
        <v>900</v>
      </c>
      <c r="N31" s="2">
        <v>462</v>
      </c>
      <c r="O31" s="2">
        <v>123</v>
      </c>
      <c r="P31" s="2">
        <v>-1479</v>
      </c>
      <c r="Q31" s="2">
        <v>630</v>
      </c>
      <c r="R31" s="2">
        <v>-323</v>
      </c>
      <c r="S31" s="2">
        <v>413</v>
      </c>
      <c r="T31" s="2">
        <v>-1388</v>
      </c>
      <c r="U31" s="2">
        <v>190</v>
      </c>
      <c r="V31" s="2">
        <v>-865</v>
      </c>
      <c r="W31" s="2">
        <v>593</v>
      </c>
      <c r="X31" s="2">
        <v>217</v>
      </c>
      <c r="Y31" s="2">
        <v>-168</v>
      </c>
      <c r="Z31" s="2">
        <v>-469</v>
      </c>
      <c r="AA31" s="2">
        <v>539</v>
      </c>
      <c r="AB31" s="2">
        <v>-1531</v>
      </c>
      <c r="AC31" s="2">
        <v>-71</v>
      </c>
      <c r="AD31" s="2">
        <v>-343</v>
      </c>
      <c r="AE31" s="2">
        <v>57</v>
      </c>
      <c r="AF31" s="2">
        <v>-1123</v>
      </c>
      <c r="AG31" s="2">
        <v>-109</v>
      </c>
      <c r="AH31" s="2">
        <v>-213</v>
      </c>
      <c r="AI31" s="2">
        <v>937</v>
      </c>
      <c r="AJ31" s="2">
        <v>837</v>
      </c>
      <c r="AK31" s="2">
        <v>867</v>
      </c>
      <c r="AL31" s="2">
        <v>1152</v>
      </c>
      <c r="AM31" s="2">
        <v>-1172</v>
      </c>
      <c r="AN31" s="2">
        <v>-830</v>
      </c>
      <c r="AO31" s="2">
        <v>-604</v>
      </c>
      <c r="AP31" s="2">
        <v>-669</v>
      </c>
      <c r="AQ31" s="2">
        <v>1018</v>
      </c>
      <c r="AR31" s="2">
        <v>449</v>
      </c>
      <c r="AS31" s="2">
        <v>-470</v>
      </c>
    </row>
    <row r="32" spans="1:45" ht="12.75">
      <c r="A32" s="240" t="s">
        <v>36</v>
      </c>
      <c r="B32" s="177"/>
      <c r="C32" s="241"/>
      <c r="E32" s="53" t="s">
        <v>475</v>
      </c>
      <c r="F32" s="2">
        <v>0</v>
      </c>
      <c r="G32" s="2">
        <v>0</v>
      </c>
      <c r="H32" s="2">
        <v>0</v>
      </c>
      <c r="I32" s="2">
        <v>0</v>
      </c>
      <c r="J32" s="2">
        <v>0</v>
      </c>
      <c r="K32" s="2">
        <v>0</v>
      </c>
      <c r="L32" s="2">
        <f>+L78-K78</f>
        <v>0</v>
      </c>
      <c r="M32" s="2">
        <f>+M78-L78</f>
        <v>0</v>
      </c>
      <c r="N32" s="2">
        <v>0</v>
      </c>
      <c r="O32" s="2">
        <v>0</v>
      </c>
      <c r="P32" s="2"/>
      <c r="Q32" s="2" t="s">
        <v>30</v>
      </c>
      <c r="R32" s="2">
        <v>-18</v>
      </c>
      <c r="S32" s="2">
        <v>13</v>
      </c>
      <c r="T32" s="2">
        <v>-58</v>
      </c>
      <c r="U32" s="2">
        <v>33</v>
      </c>
      <c r="V32" s="2">
        <v>-62</v>
      </c>
      <c r="W32" s="2">
        <v>20</v>
      </c>
      <c r="X32" s="2">
        <v>-56</v>
      </c>
      <c r="Y32" s="2">
        <v>-6</v>
      </c>
      <c r="Z32" s="2">
        <v>2</v>
      </c>
      <c r="AA32" s="2">
        <v>-1</v>
      </c>
      <c r="AB32" s="2">
        <v>2</v>
      </c>
      <c r="AC32" s="2">
        <v>-5</v>
      </c>
      <c r="AD32" s="2">
        <v>8</v>
      </c>
      <c r="AE32" s="2">
        <v>-17</v>
      </c>
      <c r="AF32" s="2">
        <v>42</v>
      </c>
      <c r="AG32" s="2">
        <v>-4</v>
      </c>
      <c r="AH32" s="2">
        <v>27</v>
      </c>
      <c r="AI32" s="2">
        <v>-8</v>
      </c>
      <c r="AJ32" s="2">
        <v>-19</v>
      </c>
      <c r="AK32" s="2">
        <v>-10</v>
      </c>
      <c r="AL32" s="2">
        <v>-26</v>
      </c>
      <c r="AM32" s="2">
        <v>36</v>
      </c>
      <c r="AN32" s="2">
        <v>3</v>
      </c>
      <c r="AO32" s="2">
        <v>16</v>
      </c>
      <c r="AP32" s="2">
        <v>2</v>
      </c>
      <c r="AQ32" s="2">
        <v>-18</v>
      </c>
      <c r="AR32" s="2">
        <v>-7</v>
      </c>
      <c r="AS32" s="2">
        <v>3</v>
      </c>
    </row>
    <row r="33" spans="1:45" ht="12.75">
      <c r="A33" s="240" t="s">
        <v>37</v>
      </c>
      <c r="B33" s="177"/>
      <c r="C33" s="241"/>
      <c r="E33" s="62" t="s">
        <v>138</v>
      </c>
      <c r="F33" s="2"/>
      <c r="G33" s="2"/>
      <c r="H33" s="2"/>
      <c r="I33" s="2"/>
      <c r="J33" s="2"/>
      <c r="K33" s="2"/>
      <c r="L33" s="2"/>
      <c r="M33" s="2"/>
      <c r="N33" s="2"/>
      <c r="O33" s="2"/>
      <c r="P33" s="2"/>
      <c r="Q33" s="2"/>
      <c r="R33" s="2"/>
      <c r="S33" s="2"/>
      <c r="T33" s="2"/>
      <c r="U33" s="2"/>
      <c r="V33" s="2"/>
      <c r="W33" s="2"/>
      <c r="X33" s="2"/>
      <c r="Y33" s="2"/>
      <c r="Z33" s="2">
        <v>-466</v>
      </c>
      <c r="AA33" s="2">
        <v>520</v>
      </c>
      <c r="AB33" s="2">
        <v>-1524</v>
      </c>
      <c r="AC33" s="2">
        <v>-7</v>
      </c>
      <c r="AD33" s="2">
        <v>-353</v>
      </c>
      <c r="AE33" s="2">
        <v>126</v>
      </c>
      <c r="AF33" s="2">
        <v>-1268</v>
      </c>
      <c r="AG33" s="2">
        <v>-22</v>
      </c>
      <c r="AH33" s="2">
        <v>-274</v>
      </c>
      <c r="AI33" s="14">
        <v>952</v>
      </c>
      <c r="AJ33" s="14">
        <v>906</v>
      </c>
      <c r="AK33" s="14">
        <v>823</v>
      </c>
      <c r="AL33" s="14">
        <v>1153</v>
      </c>
      <c r="AM33" s="14">
        <v>-1207</v>
      </c>
      <c r="AN33" s="14">
        <v>-768</v>
      </c>
      <c r="AO33" s="14">
        <v>-670</v>
      </c>
      <c r="AP33" s="14">
        <v>-724</v>
      </c>
      <c r="AQ33" s="14">
        <v>1004</v>
      </c>
      <c r="AR33" s="14">
        <v>449</v>
      </c>
      <c r="AS33" s="2">
        <v>-460</v>
      </c>
    </row>
    <row r="34" spans="1:45" ht="12.75">
      <c r="A34" s="240" t="s">
        <v>37</v>
      </c>
      <c r="B34" s="177"/>
      <c r="C34" s="241"/>
      <c r="E34" s="62" t="s">
        <v>458</v>
      </c>
      <c r="F34" s="1">
        <v>758</v>
      </c>
      <c r="G34" s="1">
        <v>-43</v>
      </c>
      <c r="H34" s="1">
        <v>-416</v>
      </c>
      <c r="I34" s="1">
        <v>549</v>
      </c>
      <c r="J34" s="1">
        <v>-1112</v>
      </c>
      <c r="K34" s="1">
        <v>659</v>
      </c>
      <c r="L34" s="1">
        <v>803</v>
      </c>
      <c r="M34" s="1">
        <v>857</v>
      </c>
      <c r="N34" s="1">
        <v>226</v>
      </c>
      <c r="O34" s="1">
        <v>266</v>
      </c>
      <c r="P34" s="1">
        <v>-1410</v>
      </c>
      <c r="Q34" s="1">
        <v>680</v>
      </c>
      <c r="R34" s="1">
        <v>-349</v>
      </c>
      <c r="S34" s="1">
        <v>364</v>
      </c>
      <c r="T34" s="1">
        <v>-1376</v>
      </c>
      <c r="U34" s="1">
        <v>183</v>
      </c>
      <c r="V34" s="1">
        <v>-896</v>
      </c>
      <c r="W34" s="1">
        <v>579</v>
      </c>
      <c r="X34" s="1">
        <v>225</v>
      </c>
      <c r="Y34" s="1">
        <v>-215</v>
      </c>
      <c r="Z34" s="1">
        <v>362</v>
      </c>
      <c r="AA34" s="1">
        <v>-296</v>
      </c>
      <c r="AB34" s="1">
        <v>-1739</v>
      </c>
      <c r="AC34" s="1">
        <v>-670</v>
      </c>
      <c r="AD34" s="1">
        <v>195</v>
      </c>
      <c r="AE34" s="1">
        <v>821</v>
      </c>
      <c r="AF34" s="14">
        <v>-1318</v>
      </c>
      <c r="AG34" s="14">
        <v>0</v>
      </c>
      <c r="AH34" s="14">
        <v>-520</v>
      </c>
      <c r="AI34" s="14">
        <v>842</v>
      </c>
      <c r="AJ34" s="14">
        <v>1183</v>
      </c>
      <c r="AK34" s="14">
        <v>176</v>
      </c>
      <c r="AL34" s="14">
        <v>537</v>
      </c>
      <c r="AM34" s="14">
        <v>-52</v>
      </c>
      <c r="AN34" s="14">
        <v>-1243</v>
      </c>
      <c r="AO34" s="14">
        <v>-505</v>
      </c>
      <c r="AP34" s="14">
        <v>-1857</v>
      </c>
      <c r="AQ34" s="14">
        <v>719</v>
      </c>
      <c r="AR34" s="14">
        <v>527</v>
      </c>
      <c r="AS34" s="14">
        <v>688</v>
      </c>
    </row>
    <row r="35" spans="1:45" ht="12.75">
      <c r="A35" s="240" t="s">
        <v>37</v>
      </c>
      <c r="B35" s="40" t="s">
        <v>39</v>
      </c>
      <c r="C35" s="241"/>
      <c r="E35" s="77" t="s">
        <v>23</v>
      </c>
      <c r="F35" s="1">
        <v>1250</v>
      </c>
      <c r="G35" s="1">
        <v>502</v>
      </c>
      <c r="H35" s="1">
        <v>346</v>
      </c>
      <c r="I35" s="1">
        <v>1675</v>
      </c>
      <c r="J35" s="1">
        <v>-1218</v>
      </c>
      <c r="K35" s="1">
        <v>758</v>
      </c>
      <c r="L35" s="1">
        <v>1650</v>
      </c>
      <c r="M35" s="1">
        <v>383</v>
      </c>
      <c r="N35" s="1">
        <v>-120</v>
      </c>
      <c r="O35" s="1">
        <v>924</v>
      </c>
      <c r="P35" s="1">
        <v>221</v>
      </c>
      <c r="Q35" s="1">
        <v>1344</v>
      </c>
      <c r="R35" s="1">
        <v>562</v>
      </c>
      <c r="S35" s="1">
        <v>1392</v>
      </c>
      <c r="T35" s="1">
        <v>5</v>
      </c>
      <c r="U35" s="1">
        <v>860</v>
      </c>
      <c r="V35" s="1">
        <v>-439</v>
      </c>
      <c r="W35" s="1">
        <v>1140</v>
      </c>
      <c r="X35" s="1">
        <v>1050</v>
      </c>
      <c r="Y35" s="1">
        <v>6</v>
      </c>
      <c r="Z35" s="1">
        <v>861</v>
      </c>
      <c r="AA35" s="1">
        <v>405</v>
      </c>
      <c r="AB35" s="1">
        <v>-816</v>
      </c>
      <c r="AC35" s="1">
        <v>-428</v>
      </c>
      <c r="AD35" s="1">
        <v>556</v>
      </c>
      <c r="AE35" s="1">
        <v>1463</v>
      </c>
      <c r="AF35" s="1">
        <v>-662</v>
      </c>
      <c r="AG35" s="14">
        <v>-987</v>
      </c>
      <c r="AH35" s="14">
        <v>-89</v>
      </c>
      <c r="AI35" s="14">
        <v>750</v>
      </c>
      <c r="AJ35" s="14">
        <v>2116</v>
      </c>
      <c r="AK35" s="14">
        <v>1146</v>
      </c>
      <c r="AL35" s="14">
        <v>876</v>
      </c>
      <c r="AM35" s="14">
        <v>556</v>
      </c>
      <c r="AN35" s="14">
        <v>-229</v>
      </c>
      <c r="AO35" s="14">
        <v>-898</v>
      </c>
      <c r="AP35" s="14">
        <v>-982</v>
      </c>
      <c r="AQ35" s="14">
        <v>1798</v>
      </c>
      <c r="AR35" s="14">
        <v>1794</v>
      </c>
      <c r="AS35" s="14">
        <v>1960</v>
      </c>
    </row>
    <row r="36" spans="1:45" ht="12.75">
      <c r="A36" s="240" t="s">
        <v>38</v>
      </c>
      <c r="B36" s="177"/>
      <c r="C36" s="241"/>
      <c r="E36" s="77"/>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4"/>
    </row>
    <row r="37" spans="1:45" s="33" customFormat="1" ht="12.75">
      <c r="A37" s="238" t="s">
        <v>571</v>
      </c>
      <c r="B37" s="293"/>
      <c r="C37" s="239"/>
      <c r="E37" s="80" t="s">
        <v>24</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47"/>
      <c r="AG37" s="247"/>
      <c r="AH37" s="247"/>
      <c r="AI37" s="247"/>
      <c r="AJ37" s="247"/>
      <c r="AK37" s="247"/>
      <c r="AL37" s="247"/>
      <c r="AM37" s="247"/>
      <c r="AN37" s="247"/>
      <c r="AO37" s="247"/>
      <c r="AP37" s="247"/>
      <c r="AQ37" s="247"/>
      <c r="AR37" s="247"/>
      <c r="AS37" s="1"/>
    </row>
    <row r="38" spans="1:45" ht="12.75">
      <c r="A38" s="240" t="s">
        <v>36</v>
      </c>
      <c r="B38" s="177"/>
      <c r="C38" s="241"/>
      <c r="E38" s="29" t="s">
        <v>25</v>
      </c>
      <c r="F38" s="2">
        <v>492</v>
      </c>
      <c r="G38" s="2">
        <v>545</v>
      </c>
      <c r="H38" s="2">
        <v>762</v>
      </c>
      <c r="I38" s="2">
        <v>1126</v>
      </c>
      <c r="J38" s="2">
        <v>-106</v>
      </c>
      <c r="K38" s="2">
        <v>99</v>
      </c>
      <c r="L38" s="2">
        <v>847</v>
      </c>
      <c r="M38" s="2">
        <v>-474</v>
      </c>
      <c r="N38" s="2">
        <v>-346</v>
      </c>
      <c r="O38" s="2">
        <v>658</v>
      </c>
      <c r="P38" s="2">
        <v>1631</v>
      </c>
      <c r="Q38" s="2">
        <v>664</v>
      </c>
      <c r="R38" s="2">
        <v>911</v>
      </c>
      <c r="S38" s="2">
        <v>1028</v>
      </c>
      <c r="T38" s="2">
        <v>1381</v>
      </c>
      <c r="U38" s="2">
        <v>677</v>
      </c>
      <c r="V38" s="2">
        <v>457</v>
      </c>
      <c r="W38" s="2">
        <v>561</v>
      </c>
      <c r="X38" s="2">
        <v>826</v>
      </c>
      <c r="Y38" s="2">
        <v>220</v>
      </c>
      <c r="Z38" s="2">
        <v>501</v>
      </c>
      <c r="AA38" s="2">
        <v>699</v>
      </c>
      <c r="AB38" s="2">
        <v>921</v>
      </c>
      <c r="AC38" s="2">
        <v>241</v>
      </c>
      <c r="AD38" s="2">
        <v>361</v>
      </c>
      <c r="AE38" s="2">
        <v>642</v>
      </c>
      <c r="AF38" s="2">
        <v>655</v>
      </c>
      <c r="AG38" s="1">
        <v>-987</v>
      </c>
      <c r="AH38" s="1">
        <v>431</v>
      </c>
      <c r="AI38" s="1">
        <v>-92</v>
      </c>
      <c r="AJ38" s="1">
        <v>933</v>
      </c>
      <c r="AK38" s="1">
        <v>969</v>
      </c>
      <c r="AL38" s="1">
        <v>339</v>
      </c>
      <c r="AM38" s="1">
        <v>608</v>
      </c>
      <c r="AN38" s="1">
        <v>1013</v>
      </c>
      <c r="AO38" s="1">
        <v>-394</v>
      </c>
      <c r="AP38" s="1">
        <v>875</v>
      </c>
      <c r="AQ38" s="1">
        <v>1079</v>
      </c>
      <c r="AR38" s="1">
        <v>1267</v>
      </c>
      <c r="AS38" s="247">
        <v>1273</v>
      </c>
    </row>
    <row r="39" spans="1:45" ht="12.75">
      <c r="A39" s="240" t="s">
        <v>36</v>
      </c>
      <c r="B39" s="177"/>
      <c r="C39" s="241"/>
      <c r="E39" s="53" t="s">
        <v>473</v>
      </c>
      <c r="F39" s="2" t="s">
        <v>30</v>
      </c>
      <c r="G39" s="2" t="s">
        <v>30</v>
      </c>
      <c r="H39" s="2" t="s">
        <v>30</v>
      </c>
      <c r="I39" s="2" t="s">
        <v>30</v>
      </c>
      <c r="J39" s="2" t="s">
        <v>30</v>
      </c>
      <c r="K39" s="2" t="s">
        <v>30</v>
      </c>
      <c r="L39" s="2" t="s">
        <v>30</v>
      </c>
      <c r="M39" s="2" t="s">
        <v>30</v>
      </c>
      <c r="N39" s="2" t="s">
        <v>30</v>
      </c>
      <c r="O39" s="2" t="s">
        <v>30</v>
      </c>
      <c r="P39" s="2" t="s">
        <v>30</v>
      </c>
      <c r="Q39" s="2" t="s">
        <v>30</v>
      </c>
      <c r="R39" s="2" t="s">
        <v>30</v>
      </c>
      <c r="S39" s="2" t="s">
        <v>30</v>
      </c>
      <c r="T39" s="2" t="s">
        <v>30</v>
      </c>
      <c r="U39" s="2" t="s">
        <v>30</v>
      </c>
      <c r="V39" s="2" t="s">
        <v>30</v>
      </c>
      <c r="W39" s="2" t="s">
        <v>30</v>
      </c>
      <c r="X39" s="2">
        <v>-1</v>
      </c>
      <c r="Y39" s="2">
        <v>1</v>
      </c>
      <c r="Z39" s="2">
        <v>-2</v>
      </c>
      <c r="AA39" s="2">
        <v>2</v>
      </c>
      <c r="AB39" s="2">
        <v>2</v>
      </c>
      <c r="AC39" s="2">
        <v>1</v>
      </c>
      <c r="AD39" s="2">
        <v>0</v>
      </c>
      <c r="AE39" s="2">
        <v>0</v>
      </c>
      <c r="AF39" s="2">
        <v>1</v>
      </c>
      <c r="AG39" s="2">
        <v>0</v>
      </c>
      <c r="AH39" s="2">
        <v>0</v>
      </c>
      <c r="AI39" s="2">
        <v>0</v>
      </c>
      <c r="AJ39" s="2">
        <v>0</v>
      </c>
      <c r="AK39" s="2">
        <v>1</v>
      </c>
      <c r="AL39" s="2">
        <v>0</v>
      </c>
      <c r="AM39" s="2">
        <v>1</v>
      </c>
      <c r="AN39" s="2">
        <v>0</v>
      </c>
      <c r="AO39" s="2">
        <v>1</v>
      </c>
      <c r="AP39" s="2">
        <v>0</v>
      </c>
      <c r="AQ39" s="2">
        <v>0</v>
      </c>
      <c r="AR39" s="2">
        <v>0</v>
      </c>
      <c r="AS39" s="9">
        <v>-1</v>
      </c>
    </row>
    <row r="40" spans="1:45" ht="12.75">
      <c r="A40" s="240" t="s">
        <v>37</v>
      </c>
      <c r="B40" s="177"/>
      <c r="C40" s="241"/>
      <c r="E40" s="77" t="s">
        <v>27</v>
      </c>
      <c r="F40" s="1">
        <v>492</v>
      </c>
      <c r="G40" s="1">
        <v>545</v>
      </c>
      <c r="H40" s="1">
        <v>762</v>
      </c>
      <c r="I40" s="1">
        <v>1126</v>
      </c>
      <c r="J40" s="1">
        <v>-106</v>
      </c>
      <c r="K40" s="1">
        <v>99</v>
      </c>
      <c r="L40" s="1">
        <v>847</v>
      </c>
      <c r="M40" s="1">
        <v>-474</v>
      </c>
      <c r="N40" s="1">
        <v>-346</v>
      </c>
      <c r="O40" s="1">
        <v>658</v>
      </c>
      <c r="P40" s="1">
        <v>1631</v>
      </c>
      <c r="Q40" s="1">
        <v>664</v>
      </c>
      <c r="R40" s="1">
        <v>911</v>
      </c>
      <c r="S40" s="1">
        <v>1028</v>
      </c>
      <c r="T40" s="1">
        <v>1381</v>
      </c>
      <c r="U40" s="1">
        <v>677</v>
      </c>
      <c r="V40" s="1">
        <v>457</v>
      </c>
      <c r="W40" s="1">
        <v>561</v>
      </c>
      <c r="X40" s="1">
        <v>825</v>
      </c>
      <c r="Y40" s="1">
        <v>221</v>
      </c>
      <c r="Z40" s="1">
        <v>499</v>
      </c>
      <c r="AA40" s="1">
        <v>701</v>
      </c>
      <c r="AB40" s="1">
        <v>923</v>
      </c>
      <c r="AC40" s="1">
        <v>242</v>
      </c>
      <c r="AD40" s="1">
        <v>361</v>
      </c>
      <c r="AE40" s="1">
        <v>642</v>
      </c>
      <c r="AF40" s="14">
        <v>656</v>
      </c>
      <c r="AG40" s="14">
        <v>-987</v>
      </c>
      <c r="AH40" s="14">
        <v>431</v>
      </c>
      <c r="AI40" s="14">
        <v>-92</v>
      </c>
      <c r="AJ40" s="14">
        <v>933</v>
      </c>
      <c r="AK40" s="14">
        <v>970</v>
      </c>
      <c r="AL40" s="14">
        <v>339</v>
      </c>
      <c r="AM40" s="14">
        <v>609</v>
      </c>
      <c r="AN40" s="14">
        <v>1013</v>
      </c>
      <c r="AO40" s="14">
        <v>-393</v>
      </c>
      <c r="AP40" s="14">
        <v>875</v>
      </c>
      <c r="AQ40" s="14">
        <v>1079</v>
      </c>
      <c r="AR40" s="14">
        <v>1267</v>
      </c>
      <c r="AS40" s="14">
        <v>1272</v>
      </c>
    </row>
    <row r="41" spans="1:45" ht="12.75">
      <c r="A41" s="240" t="s">
        <v>38</v>
      </c>
      <c r="B41" s="240"/>
      <c r="C41" s="241"/>
      <c r="E41" s="29"/>
      <c r="F41" s="2"/>
      <c r="G41" s="2"/>
      <c r="H41" s="2"/>
      <c r="I41" s="2"/>
      <c r="J41" s="2"/>
      <c r="K41" s="2"/>
      <c r="L41" s="2"/>
      <c r="M41" s="2"/>
      <c r="N41" s="2"/>
      <c r="O41" s="2"/>
      <c r="P41" s="2"/>
      <c r="Q41" s="2"/>
      <c r="R41" s="2"/>
      <c r="S41" s="2"/>
      <c r="T41" s="2"/>
      <c r="U41" s="2"/>
      <c r="V41" s="2"/>
      <c r="W41" s="2"/>
      <c r="X41" s="2"/>
      <c r="Y41" s="2"/>
      <c r="Z41" s="2"/>
      <c r="AA41" s="2"/>
      <c r="AB41" s="2"/>
      <c r="AC41" s="2"/>
      <c r="AD41" s="2"/>
      <c r="AE41" s="2"/>
      <c r="AF41" s="1"/>
      <c r="AG41" s="14"/>
      <c r="AH41" s="14"/>
      <c r="AI41" s="14"/>
      <c r="AJ41" s="14"/>
      <c r="AK41" s="14"/>
      <c r="AL41" s="14"/>
      <c r="AM41" s="14"/>
      <c r="AN41" s="14"/>
      <c r="AO41" s="14"/>
      <c r="AP41" s="14"/>
      <c r="AQ41" s="14"/>
      <c r="AR41" s="14"/>
      <c r="AS41" s="14"/>
    </row>
    <row r="42" spans="1:45" s="33" customFormat="1" ht="12.75">
      <c r="A42" s="238" t="s">
        <v>571</v>
      </c>
      <c r="B42" s="238"/>
      <c r="C42" s="239"/>
      <c r="E42" s="80" t="s">
        <v>28</v>
      </c>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47"/>
      <c r="AH42" s="247"/>
      <c r="AI42" s="247"/>
      <c r="AJ42" s="247"/>
      <c r="AK42" s="247"/>
      <c r="AL42" s="247"/>
      <c r="AM42" s="247"/>
      <c r="AN42" s="247"/>
      <c r="AO42" s="247"/>
      <c r="AP42" s="247"/>
      <c r="AQ42" s="247"/>
      <c r="AR42" s="247"/>
      <c r="AS42" s="14"/>
    </row>
    <row r="43" spans="1:45" ht="12.75">
      <c r="A43" s="240" t="s">
        <v>36</v>
      </c>
      <c r="B43" s="240"/>
      <c r="C43" s="241"/>
      <c r="E43" s="29" t="s">
        <v>25</v>
      </c>
      <c r="F43" s="2">
        <v>1250</v>
      </c>
      <c r="G43" s="2">
        <v>502</v>
      </c>
      <c r="H43" s="2">
        <v>346</v>
      </c>
      <c r="I43" s="2">
        <v>1675</v>
      </c>
      <c r="J43" s="2">
        <v>-1218</v>
      </c>
      <c r="K43" s="2">
        <v>758</v>
      </c>
      <c r="L43" s="2">
        <v>847</v>
      </c>
      <c r="M43" s="2">
        <v>-474</v>
      </c>
      <c r="N43" s="2">
        <v>-120</v>
      </c>
      <c r="O43" s="2">
        <v>924</v>
      </c>
      <c r="P43" s="2">
        <v>221</v>
      </c>
      <c r="Q43" s="2">
        <v>1344</v>
      </c>
      <c r="R43" s="2">
        <v>562</v>
      </c>
      <c r="S43" s="2">
        <v>1392</v>
      </c>
      <c r="T43" s="2">
        <v>5</v>
      </c>
      <c r="U43" s="2">
        <v>860</v>
      </c>
      <c r="V43" s="2">
        <v>-439</v>
      </c>
      <c r="W43" s="2">
        <v>1140</v>
      </c>
      <c r="X43" s="2">
        <v>1046</v>
      </c>
      <c r="Y43" s="2">
        <v>5</v>
      </c>
      <c r="Z43" s="2">
        <v>867</v>
      </c>
      <c r="AA43" s="2">
        <v>397</v>
      </c>
      <c r="AB43" s="2">
        <v>-811</v>
      </c>
      <c r="AC43" s="2">
        <v>-427</v>
      </c>
      <c r="AD43" s="2">
        <v>556</v>
      </c>
      <c r="AE43" s="2">
        <v>1463</v>
      </c>
      <c r="AF43" s="2">
        <v>-659</v>
      </c>
      <c r="AG43" s="2">
        <v>-986</v>
      </c>
      <c r="AH43" s="2">
        <v>-87</v>
      </c>
      <c r="AI43" s="2">
        <v>749</v>
      </c>
      <c r="AJ43" s="2">
        <v>2116</v>
      </c>
      <c r="AK43" s="2">
        <v>1144</v>
      </c>
      <c r="AL43" s="2">
        <v>874</v>
      </c>
      <c r="AM43" s="2">
        <v>557</v>
      </c>
      <c r="AN43" s="2">
        <v>-229</v>
      </c>
      <c r="AO43" s="2">
        <v>-895</v>
      </c>
      <c r="AP43" s="2">
        <v>-981</v>
      </c>
      <c r="AQ43" s="2">
        <v>1797</v>
      </c>
      <c r="AR43" s="2">
        <v>1794</v>
      </c>
      <c r="AS43" s="224">
        <v>1960</v>
      </c>
    </row>
    <row r="44" spans="1:45" ht="12.75">
      <c r="A44" s="240" t="s">
        <v>36</v>
      </c>
      <c r="B44" s="240"/>
      <c r="C44" s="241"/>
      <c r="E44" s="53" t="s">
        <v>474</v>
      </c>
      <c r="F44" s="2" t="s">
        <v>30</v>
      </c>
      <c r="G44" s="2" t="s">
        <v>30</v>
      </c>
      <c r="H44" s="2" t="s">
        <v>30</v>
      </c>
      <c r="I44" s="2" t="s">
        <v>30</v>
      </c>
      <c r="J44" s="2" t="s">
        <v>30</v>
      </c>
      <c r="K44" s="2" t="s">
        <v>30</v>
      </c>
      <c r="L44" s="2" t="s">
        <v>30</v>
      </c>
      <c r="M44" s="2" t="s">
        <v>30</v>
      </c>
      <c r="N44" s="2" t="s">
        <v>30</v>
      </c>
      <c r="O44" s="2" t="s">
        <v>30</v>
      </c>
      <c r="P44" s="2" t="s">
        <v>30</v>
      </c>
      <c r="Q44" s="2" t="s">
        <v>30</v>
      </c>
      <c r="R44" s="2" t="s">
        <v>30</v>
      </c>
      <c r="S44" s="2" t="s">
        <v>30</v>
      </c>
      <c r="T44" s="2" t="s">
        <v>30</v>
      </c>
      <c r="U44" s="2" t="s">
        <v>30</v>
      </c>
      <c r="V44" s="2" t="s">
        <v>30</v>
      </c>
      <c r="W44" s="2" t="s">
        <v>30</v>
      </c>
      <c r="X44" s="2">
        <v>4</v>
      </c>
      <c r="Y44" s="2">
        <v>1</v>
      </c>
      <c r="Z44" s="2">
        <v>-6</v>
      </c>
      <c r="AA44" s="2">
        <v>8</v>
      </c>
      <c r="AB44" s="2">
        <v>-5</v>
      </c>
      <c r="AC44" s="2">
        <v>-1</v>
      </c>
      <c r="AD44" s="2">
        <v>0</v>
      </c>
      <c r="AE44" s="2">
        <v>0</v>
      </c>
      <c r="AF44" s="2">
        <v>-3</v>
      </c>
      <c r="AG44" s="2">
        <v>-1</v>
      </c>
      <c r="AH44" s="2">
        <v>-2</v>
      </c>
      <c r="AI44" s="2">
        <v>1</v>
      </c>
      <c r="AJ44" s="2">
        <v>0</v>
      </c>
      <c r="AK44" s="2">
        <v>2</v>
      </c>
      <c r="AL44" s="2">
        <v>2</v>
      </c>
      <c r="AM44" s="2">
        <v>-1</v>
      </c>
      <c r="AN44" s="2">
        <v>0</v>
      </c>
      <c r="AO44" s="2">
        <v>-3</v>
      </c>
      <c r="AP44" s="2">
        <v>-1</v>
      </c>
      <c r="AQ44" s="2">
        <v>1</v>
      </c>
      <c r="AR44" s="2">
        <v>0</v>
      </c>
      <c r="AS44" s="2">
        <v>0</v>
      </c>
    </row>
    <row r="45" spans="1:45" ht="12.75">
      <c r="A45" s="240" t="s">
        <v>37</v>
      </c>
      <c r="B45" s="177"/>
      <c r="C45" s="241"/>
      <c r="E45" s="77" t="s">
        <v>27</v>
      </c>
      <c r="F45" s="1">
        <v>1250</v>
      </c>
      <c r="G45" s="1">
        <v>502</v>
      </c>
      <c r="H45" s="1">
        <v>346</v>
      </c>
      <c r="I45" s="1">
        <v>1675</v>
      </c>
      <c r="J45" s="1">
        <v>-1218</v>
      </c>
      <c r="K45" s="1">
        <v>758</v>
      </c>
      <c r="L45" s="1">
        <v>847</v>
      </c>
      <c r="M45" s="1">
        <v>-474</v>
      </c>
      <c r="N45" s="1">
        <v>-120</v>
      </c>
      <c r="O45" s="1">
        <v>924</v>
      </c>
      <c r="P45" s="1">
        <v>221</v>
      </c>
      <c r="Q45" s="1">
        <v>1344</v>
      </c>
      <c r="R45" s="1">
        <v>562</v>
      </c>
      <c r="S45" s="1">
        <v>1392</v>
      </c>
      <c r="T45" s="1">
        <v>5</v>
      </c>
      <c r="U45" s="1">
        <v>860</v>
      </c>
      <c r="V45" s="1">
        <v>-439</v>
      </c>
      <c r="W45" s="1">
        <v>1140</v>
      </c>
      <c r="X45" s="1">
        <v>1050</v>
      </c>
      <c r="Y45" s="1">
        <v>6</v>
      </c>
      <c r="Z45" s="1">
        <v>861</v>
      </c>
      <c r="AA45" s="1">
        <v>405</v>
      </c>
      <c r="AB45" s="1">
        <v>-816</v>
      </c>
      <c r="AC45" s="1">
        <v>-428</v>
      </c>
      <c r="AD45" s="1">
        <v>556</v>
      </c>
      <c r="AE45" s="1">
        <v>1463</v>
      </c>
      <c r="AF45" s="14">
        <v>-662</v>
      </c>
      <c r="AG45" s="14">
        <v>-987</v>
      </c>
      <c r="AH45" s="14">
        <v>-89</v>
      </c>
      <c r="AI45" s="14">
        <v>750</v>
      </c>
      <c r="AJ45" s="14">
        <v>2116</v>
      </c>
      <c r="AK45" s="14">
        <v>1146</v>
      </c>
      <c r="AL45" s="14">
        <v>876</v>
      </c>
      <c r="AM45" s="14">
        <v>556</v>
      </c>
      <c r="AN45" s="14">
        <v>-229</v>
      </c>
      <c r="AO45" s="14">
        <v>-898</v>
      </c>
      <c r="AP45" s="14">
        <v>-982</v>
      </c>
      <c r="AQ45" s="14">
        <v>1798</v>
      </c>
      <c r="AR45" s="14">
        <v>1794</v>
      </c>
      <c r="AS45" s="14">
        <v>1960</v>
      </c>
    </row>
    <row r="46" spans="1:45" ht="12.75">
      <c r="A46" s="240" t="s">
        <v>38</v>
      </c>
      <c r="B46" s="240"/>
      <c r="C46" s="241"/>
      <c r="E46" s="29"/>
      <c r="F46" s="2"/>
      <c r="G46" s="2"/>
      <c r="H46" s="2"/>
      <c r="I46" s="2"/>
      <c r="J46" s="2"/>
      <c r="K46" s="2"/>
      <c r="L46" s="2"/>
      <c r="M46" s="2"/>
      <c r="N46" s="2"/>
      <c r="O46" s="2"/>
      <c r="P46" s="2"/>
      <c r="Q46" s="2"/>
      <c r="R46" s="2"/>
      <c r="S46" s="2"/>
      <c r="T46" s="2"/>
      <c r="U46" s="2"/>
      <c r="V46" s="2"/>
      <c r="W46" s="2"/>
      <c r="X46" s="2"/>
      <c r="Y46" s="2"/>
      <c r="Z46" s="2"/>
      <c r="AA46" s="2"/>
      <c r="AB46" s="2"/>
      <c r="AC46" s="2"/>
      <c r="AD46" s="2"/>
      <c r="AE46" s="2"/>
      <c r="AF46" s="1"/>
      <c r="AG46" s="14"/>
      <c r="AH46" s="14"/>
      <c r="AI46" s="14"/>
      <c r="AJ46" s="14"/>
      <c r="AK46" s="14"/>
      <c r="AL46" s="14"/>
      <c r="AM46" s="14"/>
      <c r="AN46" s="14"/>
      <c r="AO46" s="14"/>
      <c r="AP46" s="14"/>
      <c r="AQ46" s="14"/>
      <c r="AR46" s="14"/>
      <c r="AS46" s="14"/>
    </row>
    <row r="47" spans="1:45" ht="12.75">
      <c r="A47" s="240" t="s">
        <v>36</v>
      </c>
      <c r="B47" s="240" t="s">
        <v>39</v>
      </c>
      <c r="C47" s="241" t="s">
        <v>533</v>
      </c>
      <c r="E47" s="53" t="s">
        <v>536</v>
      </c>
      <c r="F47" s="4">
        <v>1.76</v>
      </c>
      <c r="G47" s="4">
        <v>1.94</v>
      </c>
      <c r="H47" s="4">
        <v>2.71</v>
      </c>
      <c r="I47" s="4">
        <v>4</v>
      </c>
      <c r="J47" s="4">
        <v>-0.38</v>
      </c>
      <c r="K47" s="4">
        <v>0.36</v>
      </c>
      <c r="L47" s="4">
        <v>2.99</v>
      </c>
      <c r="M47" s="4">
        <v>-1.68</v>
      </c>
      <c r="N47" s="4">
        <v>-1.22</v>
      </c>
      <c r="O47" s="4">
        <v>2.32</v>
      </c>
      <c r="P47" s="4">
        <v>5.74</v>
      </c>
      <c r="Q47" s="4">
        <v>2.34</v>
      </c>
      <c r="R47" s="4">
        <v>3.2</v>
      </c>
      <c r="S47" s="4">
        <v>3.61</v>
      </c>
      <c r="T47" s="4">
        <v>4.85</v>
      </c>
      <c r="U47" s="4">
        <v>2.38</v>
      </c>
      <c r="V47" s="4">
        <v>1.61</v>
      </c>
      <c r="W47" s="4">
        <v>1.97</v>
      </c>
      <c r="X47" s="4">
        <v>2.9</v>
      </c>
      <c r="Y47" s="4">
        <v>0.77</v>
      </c>
      <c r="Z47" s="4">
        <v>1.76</v>
      </c>
      <c r="AA47" s="4">
        <v>2.44</v>
      </c>
      <c r="AB47" s="4">
        <v>3.22</v>
      </c>
      <c r="AC47" s="4">
        <v>0.84</v>
      </c>
      <c r="AD47" s="4">
        <v>1.26</v>
      </c>
      <c r="AE47" s="4">
        <v>2.24</v>
      </c>
      <c r="AF47" s="7">
        <v>2.29</v>
      </c>
      <c r="AG47" s="170">
        <v>-3.44</v>
      </c>
      <c r="AH47" s="170">
        <v>1.5</v>
      </c>
      <c r="AI47" s="170">
        <v>-0.32000000000000006</v>
      </c>
      <c r="AJ47" s="170">
        <v>3.2600000000000007</v>
      </c>
      <c r="AK47" s="170">
        <v>3.3899999999999997</v>
      </c>
      <c r="AL47" s="170">
        <v>1.18</v>
      </c>
      <c r="AM47" s="170">
        <v>2.12</v>
      </c>
      <c r="AN47" s="170">
        <v>3.5300000000000002</v>
      </c>
      <c r="AO47" s="170">
        <v>-1.38</v>
      </c>
      <c r="AP47" s="170">
        <v>3.04</v>
      </c>
      <c r="AQ47" s="170">
        <v>3.75</v>
      </c>
      <c r="AR47" s="170">
        <v>4.41</v>
      </c>
      <c r="AS47" s="170">
        <v>4.43</v>
      </c>
    </row>
    <row r="48" spans="1:45" ht="12.75">
      <c r="A48" s="240" t="s">
        <v>36</v>
      </c>
      <c r="B48" s="240" t="s">
        <v>39</v>
      </c>
      <c r="C48" s="241" t="s">
        <v>533</v>
      </c>
      <c r="E48" s="53" t="s">
        <v>535</v>
      </c>
      <c r="F48" s="4">
        <v>1.76</v>
      </c>
      <c r="G48" s="4">
        <v>1.93</v>
      </c>
      <c r="H48" s="4">
        <v>2.67</v>
      </c>
      <c r="I48" s="4">
        <v>3.97</v>
      </c>
      <c r="J48" s="4">
        <v>-0.38</v>
      </c>
      <c r="K48" s="4">
        <v>0.36</v>
      </c>
      <c r="L48" s="4">
        <v>2.99</v>
      </c>
      <c r="M48" s="4">
        <v>-1.68</v>
      </c>
      <c r="N48" s="4">
        <v>-1.22</v>
      </c>
      <c r="O48" s="4">
        <v>2.32</v>
      </c>
      <c r="P48" s="4">
        <v>5.73</v>
      </c>
      <c r="Q48" s="4">
        <v>2.33</v>
      </c>
      <c r="R48" s="4">
        <v>3.19</v>
      </c>
      <c r="S48" s="4">
        <v>3.6</v>
      </c>
      <c r="T48" s="4">
        <v>4.82</v>
      </c>
      <c r="U48" s="4">
        <v>2.36</v>
      </c>
      <c r="V48" s="4">
        <v>1.6</v>
      </c>
      <c r="W48" s="4">
        <v>1.96</v>
      </c>
      <c r="X48" s="4">
        <v>2.88</v>
      </c>
      <c r="Y48" s="4">
        <v>0.77</v>
      </c>
      <c r="Z48" s="4">
        <v>1.75</v>
      </c>
      <c r="AA48" s="4">
        <v>2.44</v>
      </c>
      <c r="AB48" s="4">
        <v>3.22</v>
      </c>
      <c r="AC48" s="4">
        <v>0.83</v>
      </c>
      <c r="AD48" s="4">
        <v>1.26</v>
      </c>
      <c r="AE48" s="4">
        <v>2.2300000000000004</v>
      </c>
      <c r="AF48" s="4">
        <v>2.2799999999999994</v>
      </c>
      <c r="AG48" s="7">
        <v>-3.4299999999999997</v>
      </c>
      <c r="AH48" s="7">
        <v>1.5</v>
      </c>
      <c r="AI48" s="7">
        <v>-0.32000000000000006</v>
      </c>
      <c r="AJ48" s="7">
        <v>3.24</v>
      </c>
      <c r="AK48" s="7">
        <v>3.3600000000000003</v>
      </c>
      <c r="AL48" s="7">
        <v>1.17</v>
      </c>
      <c r="AM48" s="7">
        <v>2.11</v>
      </c>
      <c r="AN48" s="7">
        <v>3.5100000000000002</v>
      </c>
      <c r="AO48" s="7">
        <v>-1.37</v>
      </c>
      <c r="AP48" s="7">
        <v>3.03</v>
      </c>
      <c r="AQ48" s="7">
        <v>3.73</v>
      </c>
      <c r="AR48" s="7">
        <v>4.38</v>
      </c>
      <c r="AS48" s="170">
        <v>4.4</v>
      </c>
    </row>
    <row r="49" spans="1:45" ht="12.75">
      <c r="A49" s="240" t="s">
        <v>36</v>
      </c>
      <c r="B49" s="240"/>
      <c r="C49" s="241" t="s">
        <v>534</v>
      </c>
      <c r="E49" s="53" t="s">
        <v>537</v>
      </c>
      <c r="F49" s="5">
        <v>281.4</v>
      </c>
      <c r="G49" s="5">
        <v>281.5</v>
      </c>
      <c r="H49" s="5">
        <v>281.6</v>
      </c>
      <c r="I49" s="5">
        <v>281.6</v>
      </c>
      <c r="J49" s="5">
        <v>283.4</v>
      </c>
      <c r="K49" s="5">
        <v>283.6</v>
      </c>
      <c r="L49" s="5">
        <v>283.6</v>
      </c>
      <c r="M49" s="5">
        <v>283.6</v>
      </c>
      <c r="N49" s="5">
        <v>283.6</v>
      </c>
      <c r="O49" s="5">
        <v>284.1</v>
      </c>
      <c r="P49" s="5">
        <v>284.3</v>
      </c>
      <c r="Q49" s="5">
        <v>284.4</v>
      </c>
      <c r="R49" s="5">
        <v>284.5</v>
      </c>
      <c r="S49" s="5">
        <v>284.7</v>
      </c>
      <c r="T49" s="5">
        <v>284.7</v>
      </c>
      <c r="U49" s="5">
        <v>284.7</v>
      </c>
      <c r="V49" s="5">
        <v>284.7</v>
      </c>
      <c r="W49" s="5">
        <v>284.7</v>
      </c>
      <c r="X49" s="5">
        <v>284.7</v>
      </c>
      <c r="Y49" s="5">
        <v>284.7</v>
      </c>
      <c r="Z49" s="5">
        <v>286.1</v>
      </c>
      <c r="AA49" s="5">
        <v>286.1</v>
      </c>
      <c r="AB49" s="5">
        <v>286.1</v>
      </c>
      <c r="AC49" s="5">
        <v>286.1</v>
      </c>
      <c r="AD49" s="5">
        <v>286.2</v>
      </c>
      <c r="AE49" s="5">
        <v>286.2</v>
      </c>
      <c r="AF49" s="5">
        <v>286.2</v>
      </c>
      <c r="AG49" s="5">
        <v>286.2</v>
      </c>
      <c r="AH49" s="5">
        <v>286.2</v>
      </c>
      <c r="AI49" s="5">
        <v>286.32</v>
      </c>
      <c r="AJ49" s="5">
        <v>286.32</v>
      </c>
      <c r="AK49" s="5">
        <v>286.32</v>
      </c>
      <c r="AL49" s="5">
        <v>287.4</v>
      </c>
      <c r="AM49" s="5">
        <v>287.4</v>
      </c>
      <c r="AN49" s="5">
        <v>287.397</v>
      </c>
      <c r="AO49" s="5">
        <v>287.397</v>
      </c>
      <c r="AP49" s="5">
        <v>287.4</v>
      </c>
      <c r="AQ49" s="5">
        <v>287.4</v>
      </c>
      <c r="AR49" s="5">
        <v>287.4</v>
      </c>
      <c r="AS49" s="7">
        <v>287.4</v>
      </c>
    </row>
    <row r="50" spans="1:45" ht="12.75">
      <c r="A50" s="240" t="s">
        <v>36</v>
      </c>
      <c r="B50" s="240"/>
      <c r="C50" s="241" t="s">
        <v>534</v>
      </c>
      <c r="E50" s="53" t="s">
        <v>538</v>
      </c>
      <c r="F50" s="5">
        <v>279.7</v>
      </c>
      <c r="G50" s="5">
        <v>281.5</v>
      </c>
      <c r="H50" s="5">
        <v>281.6</v>
      </c>
      <c r="I50" s="5">
        <v>281.6</v>
      </c>
      <c r="J50" s="5">
        <v>282.1</v>
      </c>
      <c r="K50" s="5">
        <v>283.5</v>
      </c>
      <c r="L50" s="5">
        <v>283.6</v>
      </c>
      <c r="M50" s="5">
        <v>283.6</v>
      </c>
      <c r="N50" s="5">
        <v>283.6</v>
      </c>
      <c r="O50" s="5">
        <v>283.9</v>
      </c>
      <c r="P50" s="5">
        <v>284.2</v>
      </c>
      <c r="Q50" s="5">
        <v>284.4</v>
      </c>
      <c r="R50" s="5">
        <v>284.5</v>
      </c>
      <c r="S50" s="5">
        <v>284.6</v>
      </c>
      <c r="T50" s="5">
        <v>284.7</v>
      </c>
      <c r="U50" s="5">
        <v>284.7</v>
      </c>
      <c r="V50" s="5">
        <v>284.7</v>
      </c>
      <c r="W50" s="5">
        <v>284.7</v>
      </c>
      <c r="X50" s="5">
        <v>284.67</v>
      </c>
      <c r="Y50" s="5">
        <v>284.67</v>
      </c>
      <c r="Z50" s="5">
        <v>285.4</v>
      </c>
      <c r="AA50" s="5">
        <v>286.1</v>
      </c>
      <c r="AB50" s="5">
        <v>286.1</v>
      </c>
      <c r="AC50" s="5">
        <v>286.1</v>
      </c>
      <c r="AD50" s="5">
        <v>286.17</v>
      </c>
      <c r="AE50" s="5">
        <v>286.17</v>
      </c>
      <c r="AF50" s="5">
        <v>286.17</v>
      </c>
      <c r="AG50" s="5">
        <v>286.212</v>
      </c>
      <c r="AH50" s="5">
        <v>286.21</v>
      </c>
      <c r="AI50" s="5">
        <v>286.32</v>
      </c>
      <c r="AJ50" s="5">
        <v>286.32</v>
      </c>
      <c r="AK50" s="5">
        <v>286.32</v>
      </c>
      <c r="AL50" s="5">
        <v>286.6</v>
      </c>
      <c r="AM50" s="5">
        <v>287.4</v>
      </c>
      <c r="AN50" s="5">
        <v>287.397</v>
      </c>
      <c r="AO50" s="5">
        <v>287.397</v>
      </c>
      <c r="AP50" s="5">
        <v>287.4</v>
      </c>
      <c r="AQ50" s="5">
        <v>287.4</v>
      </c>
      <c r="AR50" s="5">
        <v>287.4</v>
      </c>
      <c r="AS50" s="5">
        <v>287.4</v>
      </c>
    </row>
    <row r="51" spans="1:45" ht="12.75">
      <c r="A51" s="240" t="s">
        <v>36</v>
      </c>
      <c r="B51" s="240"/>
      <c r="C51" s="241" t="s">
        <v>534</v>
      </c>
      <c r="E51" s="53" t="s">
        <v>539</v>
      </c>
      <c r="F51" s="5">
        <v>280.2</v>
      </c>
      <c r="G51" s="5">
        <v>282</v>
      </c>
      <c r="H51" s="5">
        <v>284</v>
      </c>
      <c r="I51" s="5">
        <v>284</v>
      </c>
      <c r="J51" s="5">
        <v>282.3</v>
      </c>
      <c r="K51" s="5">
        <v>283.6</v>
      </c>
      <c r="L51" s="5">
        <v>283.6</v>
      </c>
      <c r="M51" s="5">
        <v>283.6</v>
      </c>
      <c r="N51" s="5">
        <v>283.6</v>
      </c>
      <c r="O51" s="5">
        <v>284.4</v>
      </c>
      <c r="P51" s="5">
        <v>284.8</v>
      </c>
      <c r="Q51" s="5">
        <v>285.4</v>
      </c>
      <c r="R51" s="5">
        <v>285.4</v>
      </c>
      <c r="S51" s="5">
        <v>285.7</v>
      </c>
      <c r="T51" s="5">
        <v>286.4</v>
      </c>
      <c r="U51" s="5">
        <v>286.4</v>
      </c>
      <c r="V51" s="5">
        <v>286.5</v>
      </c>
      <c r="W51" s="5">
        <v>286</v>
      </c>
      <c r="X51" s="5">
        <v>286</v>
      </c>
      <c r="Y51" s="5">
        <v>286</v>
      </c>
      <c r="Z51" s="5">
        <v>286.4</v>
      </c>
      <c r="AA51" s="5">
        <v>286.3</v>
      </c>
      <c r="AB51" s="5">
        <v>287</v>
      </c>
      <c r="AC51" s="5">
        <v>287</v>
      </c>
      <c r="AD51" s="5">
        <v>287</v>
      </c>
      <c r="AE51" s="5">
        <v>287</v>
      </c>
      <c r="AF51" s="5">
        <v>287</v>
      </c>
      <c r="AG51" s="5">
        <v>287.7</v>
      </c>
      <c r="AH51" s="5">
        <v>287.68</v>
      </c>
      <c r="AI51" s="5">
        <v>287.94</v>
      </c>
      <c r="AJ51" s="5">
        <v>288.537</v>
      </c>
      <c r="AK51" s="5">
        <v>288.675</v>
      </c>
      <c r="AL51" s="5">
        <v>288.5</v>
      </c>
      <c r="AM51" s="5">
        <v>289</v>
      </c>
      <c r="AN51" s="5">
        <v>289.111</v>
      </c>
      <c r="AO51" s="5">
        <v>289.111</v>
      </c>
      <c r="AP51" s="5">
        <v>288.7</v>
      </c>
      <c r="AQ51" s="5">
        <v>289</v>
      </c>
      <c r="AR51" s="5">
        <v>289.1</v>
      </c>
      <c r="AS51" s="5">
        <v>289.2</v>
      </c>
    </row>
    <row r="52" spans="1:3" ht="12.75">
      <c r="A52" s="240" t="s">
        <v>38</v>
      </c>
      <c r="B52" s="240"/>
      <c r="C52" s="241"/>
    </row>
    <row r="53" spans="1:45" s="153" customFormat="1" ht="12.75">
      <c r="A53" s="245" t="s">
        <v>35</v>
      </c>
      <c r="B53" s="245"/>
      <c r="C53" s="246"/>
      <c r="E53" s="154" t="s">
        <v>33</v>
      </c>
      <c r="F53" s="155" t="s">
        <v>0</v>
      </c>
      <c r="G53" s="155" t="s">
        <v>1</v>
      </c>
      <c r="H53" s="155" t="s">
        <v>2</v>
      </c>
      <c r="I53" s="155" t="s">
        <v>3</v>
      </c>
      <c r="J53" s="155" t="s">
        <v>4</v>
      </c>
      <c r="K53" s="155" t="s">
        <v>5</v>
      </c>
      <c r="L53" s="155" t="s">
        <v>6</v>
      </c>
      <c r="M53" s="155" t="s">
        <v>7</v>
      </c>
      <c r="N53" s="155" t="s">
        <v>8</v>
      </c>
      <c r="O53" s="155" t="s">
        <v>9</v>
      </c>
      <c r="P53" s="155" t="s">
        <v>338</v>
      </c>
      <c r="Q53" s="155" t="s">
        <v>355</v>
      </c>
      <c r="R53" s="155" t="s">
        <v>362</v>
      </c>
      <c r="S53" s="155" t="s">
        <v>367</v>
      </c>
      <c r="T53" s="155" t="s">
        <v>371</v>
      </c>
      <c r="U53" s="155" t="s">
        <v>372</v>
      </c>
      <c r="V53" s="155" t="s">
        <v>378</v>
      </c>
      <c r="W53" s="155" t="s">
        <v>397</v>
      </c>
      <c r="X53" s="87" t="s">
        <v>398</v>
      </c>
      <c r="Y53" s="87" t="s">
        <v>400</v>
      </c>
      <c r="Z53" s="87" t="s">
        <v>405</v>
      </c>
      <c r="AA53" s="87" t="s">
        <v>409</v>
      </c>
      <c r="AB53" s="87" t="s">
        <v>411</v>
      </c>
      <c r="AC53" s="87" t="s">
        <v>414</v>
      </c>
      <c r="AD53" s="87" t="s">
        <v>421</v>
      </c>
      <c r="AE53" s="87" t="s">
        <v>429</v>
      </c>
      <c r="AF53" s="87" t="s">
        <v>431</v>
      </c>
      <c r="AG53" s="87" t="s">
        <v>432</v>
      </c>
      <c r="AH53" s="87" t="s">
        <v>440</v>
      </c>
      <c r="AI53" s="87" t="s">
        <v>441</v>
      </c>
      <c r="AJ53" s="87" t="s">
        <v>442</v>
      </c>
      <c r="AK53" s="87" t="s">
        <v>443</v>
      </c>
      <c r="AL53" s="87" t="s">
        <v>445</v>
      </c>
      <c r="AM53" s="87" t="s">
        <v>447</v>
      </c>
      <c r="AN53" s="87" t="s">
        <v>448</v>
      </c>
      <c r="AO53" s="87" t="s">
        <v>467</v>
      </c>
      <c r="AP53" s="87" t="s">
        <v>469</v>
      </c>
      <c r="AQ53" s="87" t="s">
        <v>471</v>
      </c>
      <c r="AR53" s="87" t="s">
        <v>605</v>
      </c>
      <c r="AS53" s="87" t="s">
        <v>608</v>
      </c>
    </row>
    <row r="54" spans="1:5" s="33" customFormat="1" ht="12.75">
      <c r="A54" s="238" t="s">
        <v>571</v>
      </c>
      <c r="B54" s="238"/>
      <c r="C54" s="239"/>
      <c r="E54" s="33" t="s">
        <v>31</v>
      </c>
    </row>
    <row r="55" spans="1:45" ht="12.75">
      <c r="A55" s="240" t="s">
        <v>37</v>
      </c>
      <c r="B55" s="240"/>
      <c r="C55" s="241"/>
      <c r="E55" s="75" t="s">
        <v>10</v>
      </c>
      <c r="F55" s="1">
        <v>24930</v>
      </c>
      <c r="G55" s="1">
        <v>50715</v>
      </c>
      <c r="H55" s="1">
        <v>77089</v>
      </c>
      <c r="I55" s="1">
        <v>104732</v>
      </c>
      <c r="J55" s="1">
        <v>24193</v>
      </c>
      <c r="K55" s="1">
        <v>49780</v>
      </c>
      <c r="L55" s="1">
        <v>76129</v>
      </c>
      <c r="M55" s="1">
        <v>104792</v>
      </c>
      <c r="N55" s="1">
        <v>25818</v>
      </c>
      <c r="O55" s="1">
        <v>53300</v>
      </c>
      <c r="P55" s="1">
        <v>80917</v>
      </c>
      <c r="Q55" s="1">
        <v>109132</v>
      </c>
      <c r="R55" s="1">
        <v>25133</v>
      </c>
      <c r="S55" s="1">
        <v>52444</v>
      </c>
      <c r="T55" s="1">
        <v>78770</v>
      </c>
      <c r="U55" s="1">
        <v>106326</v>
      </c>
      <c r="V55" s="1">
        <v>23436</v>
      </c>
      <c r="W55" s="1">
        <v>47579</v>
      </c>
      <c r="X55" s="1">
        <v>73229</v>
      </c>
      <c r="Y55" s="1">
        <v>101598</v>
      </c>
      <c r="Z55" s="1">
        <v>25875</v>
      </c>
      <c r="AA55" s="1">
        <v>53638</v>
      </c>
      <c r="AB55" s="1">
        <v>80809</v>
      </c>
      <c r="AC55" s="1">
        <v>109994</v>
      </c>
      <c r="AD55" s="1">
        <v>25328</v>
      </c>
      <c r="AE55" s="1">
        <v>53002</v>
      </c>
      <c r="AF55" s="1">
        <v>80260</v>
      </c>
      <c r="AG55" s="1">
        <v>109151</v>
      </c>
      <c r="AH55" s="1">
        <v>25629</v>
      </c>
      <c r="AI55" s="1">
        <v>51959</v>
      </c>
      <c r="AJ55" s="1">
        <v>80743</v>
      </c>
      <c r="AK55" s="1">
        <v>112143</v>
      </c>
      <c r="AL55" s="1">
        <v>29087</v>
      </c>
      <c r="AM55" s="1">
        <v>60442</v>
      </c>
      <c r="AN55" s="1">
        <v>91717</v>
      </c>
      <c r="AO55" s="1">
        <v>123511</v>
      </c>
      <c r="AP55" s="1">
        <v>28114</v>
      </c>
      <c r="AQ55" s="1">
        <v>58097</v>
      </c>
      <c r="AR55" s="1">
        <v>88949</v>
      </c>
      <c r="AS55" s="1">
        <v>121093</v>
      </c>
    </row>
    <row r="56" spans="1:45" ht="12.75">
      <c r="A56" s="240" t="s">
        <v>36</v>
      </c>
      <c r="B56" s="240"/>
      <c r="C56" s="241"/>
      <c r="E56" s="104" t="s">
        <v>11</v>
      </c>
      <c r="F56" s="2">
        <v>-20553</v>
      </c>
      <c r="G56" s="2">
        <v>-41754</v>
      </c>
      <c r="H56" s="2">
        <v>-63344</v>
      </c>
      <c r="I56" s="2">
        <v>-85466</v>
      </c>
      <c r="J56" s="2">
        <v>-20335</v>
      </c>
      <c r="K56" s="2">
        <v>-41173</v>
      </c>
      <c r="L56" s="2">
        <v>-62666</v>
      </c>
      <c r="M56" s="2">
        <v>-86795</v>
      </c>
      <c r="N56" s="2">
        <v>-21441</v>
      </c>
      <c r="O56" s="2">
        <v>-43586</v>
      </c>
      <c r="P56" s="2">
        <v>-65160</v>
      </c>
      <c r="Q56" s="2">
        <v>-86980</v>
      </c>
      <c r="R56" s="2">
        <v>-19552</v>
      </c>
      <c r="S56" s="2">
        <v>-40860</v>
      </c>
      <c r="T56" s="2">
        <v>-61125</v>
      </c>
      <c r="U56" s="2">
        <v>-82697</v>
      </c>
      <c r="V56" s="2">
        <v>-18990</v>
      </c>
      <c r="W56" s="2">
        <v>-38713</v>
      </c>
      <c r="X56" s="2">
        <v>-59627</v>
      </c>
      <c r="Y56" s="2">
        <v>-82840</v>
      </c>
      <c r="Z56" s="2">
        <v>-21057</v>
      </c>
      <c r="AA56" s="9">
        <v>-43435</v>
      </c>
      <c r="AB56" s="9">
        <v>-64837</v>
      </c>
      <c r="AC56" s="9">
        <v>-87807</v>
      </c>
      <c r="AD56" s="2">
        <v>-20484</v>
      </c>
      <c r="AE56" s="2">
        <v>-42731</v>
      </c>
      <c r="AF56" s="2">
        <v>-64705</v>
      </c>
      <c r="AG56" s="2">
        <v>-87892</v>
      </c>
      <c r="AH56" s="2">
        <v>-20877</v>
      </c>
      <c r="AI56" s="2">
        <v>-42985</v>
      </c>
      <c r="AJ56" s="2">
        <v>-66094</v>
      </c>
      <c r="AK56" s="2">
        <v>-91564</v>
      </c>
      <c r="AL56" s="2">
        <v>-23947</v>
      </c>
      <c r="AM56" s="2">
        <v>-49424</v>
      </c>
      <c r="AN56" s="2">
        <v>-74550</v>
      </c>
      <c r="AO56" s="2">
        <v>-99913</v>
      </c>
      <c r="AP56" s="2">
        <v>-22344</v>
      </c>
      <c r="AQ56" s="2">
        <v>-45980</v>
      </c>
      <c r="AR56" s="2">
        <v>-70232</v>
      </c>
      <c r="AS56" s="2">
        <v>-95820</v>
      </c>
    </row>
    <row r="57" spans="1:45" ht="12.75">
      <c r="A57" s="240" t="s">
        <v>37</v>
      </c>
      <c r="B57" s="240"/>
      <c r="C57" s="241"/>
      <c r="E57" s="75" t="s">
        <v>12</v>
      </c>
      <c r="F57" s="1">
        <v>4377</v>
      </c>
      <c r="G57" s="1">
        <v>8961</v>
      </c>
      <c r="H57" s="1">
        <v>13745</v>
      </c>
      <c r="I57" s="1">
        <v>19266</v>
      </c>
      <c r="J57" s="1">
        <v>3858</v>
      </c>
      <c r="K57" s="1">
        <v>8607</v>
      </c>
      <c r="L57" s="1">
        <v>13463</v>
      </c>
      <c r="M57" s="1">
        <v>17997</v>
      </c>
      <c r="N57" s="1">
        <v>4377</v>
      </c>
      <c r="O57" s="1">
        <v>9714</v>
      </c>
      <c r="P57" s="1">
        <v>15757</v>
      </c>
      <c r="Q57" s="1">
        <v>22152</v>
      </c>
      <c r="R57" s="1">
        <v>5581</v>
      </c>
      <c r="S57" s="1">
        <v>11584</v>
      </c>
      <c r="T57" s="1">
        <v>17645</v>
      </c>
      <c r="U57" s="1">
        <v>23629</v>
      </c>
      <c r="V57" s="1">
        <v>4446</v>
      </c>
      <c r="W57" s="1">
        <v>8866</v>
      </c>
      <c r="X57" s="1">
        <v>13602</v>
      </c>
      <c r="Y57" s="1">
        <v>18758</v>
      </c>
      <c r="Z57" s="1">
        <v>4818</v>
      </c>
      <c r="AA57" s="1">
        <v>10203</v>
      </c>
      <c r="AB57" s="1">
        <v>15972</v>
      </c>
      <c r="AC57" s="1">
        <v>22187</v>
      </c>
      <c r="AD57" s="1">
        <v>4844</v>
      </c>
      <c r="AE57" s="1">
        <v>10271</v>
      </c>
      <c r="AF57" s="1">
        <v>15555</v>
      </c>
      <c r="AG57" s="1">
        <v>21259</v>
      </c>
      <c r="AH57" s="1">
        <v>4752</v>
      </c>
      <c r="AI57" s="1">
        <v>8974</v>
      </c>
      <c r="AJ57" s="1">
        <v>14649</v>
      </c>
      <c r="AK57" s="1">
        <v>20579</v>
      </c>
      <c r="AL57" s="1">
        <v>5140</v>
      </c>
      <c r="AM57" s="1">
        <v>11018</v>
      </c>
      <c r="AN57" s="1">
        <v>17167</v>
      </c>
      <c r="AO57" s="1">
        <v>23598</v>
      </c>
      <c r="AP57" s="1">
        <v>5770</v>
      </c>
      <c r="AQ57" s="1">
        <v>12117</v>
      </c>
      <c r="AR57" s="1">
        <v>18717</v>
      </c>
      <c r="AS57" s="1">
        <v>25273</v>
      </c>
    </row>
    <row r="58" spans="1:45" ht="12.75">
      <c r="A58" s="240" t="s">
        <v>36</v>
      </c>
      <c r="B58" s="240"/>
      <c r="C58" s="241"/>
      <c r="E58" s="104" t="s">
        <v>13</v>
      </c>
      <c r="F58" s="2">
        <v>-2519</v>
      </c>
      <c r="G58" s="2">
        <v>-5136</v>
      </c>
      <c r="H58" s="2">
        <v>-7599</v>
      </c>
      <c r="I58" s="2">
        <v>-10219</v>
      </c>
      <c r="J58" s="2">
        <v>-2840</v>
      </c>
      <c r="K58" s="2">
        <v>-5751</v>
      </c>
      <c r="L58" s="2">
        <v>-8375</v>
      </c>
      <c r="M58" s="2">
        <v>-11788</v>
      </c>
      <c r="N58" s="2">
        <v>-2996</v>
      </c>
      <c r="O58" s="2">
        <v>-6089</v>
      </c>
      <c r="P58" s="2">
        <v>-8575</v>
      </c>
      <c r="Q58" s="2">
        <v>-11394</v>
      </c>
      <c r="R58" s="2">
        <v>-2902</v>
      </c>
      <c r="S58" s="2">
        <v>-5972</v>
      </c>
      <c r="T58" s="2">
        <v>-8786</v>
      </c>
      <c r="U58" s="2">
        <v>-11698</v>
      </c>
      <c r="V58" s="2">
        <v>-2549</v>
      </c>
      <c r="W58" s="2">
        <v>-5294</v>
      </c>
      <c r="X58" s="2">
        <v>-7883</v>
      </c>
      <c r="Y58" s="2">
        <v>-10821</v>
      </c>
      <c r="Z58" s="2">
        <v>-2628</v>
      </c>
      <c r="AA58" s="9">
        <v>-5647</v>
      </c>
      <c r="AB58" s="9">
        <v>-8446</v>
      </c>
      <c r="AC58" s="9">
        <v>-11673</v>
      </c>
      <c r="AD58" s="2">
        <v>-2666</v>
      </c>
      <c r="AE58" s="2">
        <v>-5654</v>
      </c>
      <c r="AF58" s="2">
        <v>-8415</v>
      </c>
      <c r="AG58" s="2">
        <v>-11564</v>
      </c>
      <c r="AH58" s="2">
        <v>-2693</v>
      </c>
      <c r="AI58" s="2">
        <v>-5588</v>
      </c>
      <c r="AJ58" s="2">
        <v>-8507</v>
      </c>
      <c r="AK58" s="2">
        <v>-11647</v>
      </c>
      <c r="AL58" s="2">
        <v>-3090</v>
      </c>
      <c r="AM58" s="2">
        <v>-6267</v>
      </c>
      <c r="AN58" s="2">
        <v>-9370</v>
      </c>
      <c r="AO58" s="2">
        <v>-12719</v>
      </c>
      <c r="AP58" s="2">
        <v>-3026</v>
      </c>
      <c r="AQ58" s="2">
        <v>-6272</v>
      </c>
      <c r="AR58" s="2">
        <v>-9622</v>
      </c>
      <c r="AS58" s="2">
        <v>-13208</v>
      </c>
    </row>
    <row r="59" spans="1:45" ht="12.75">
      <c r="A59" s="240" t="s">
        <v>36</v>
      </c>
      <c r="B59" s="240"/>
      <c r="C59" s="241"/>
      <c r="E59" s="104" t="s">
        <v>14</v>
      </c>
      <c r="F59" s="2">
        <v>-1103</v>
      </c>
      <c r="G59" s="2">
        <v>-2155</v>
      </c>
      <c r="H59" s="2">
        <v>-3317</v>
      </c>
      <c r="I59" s="2">
        <v>-4417</v>
      </c>
      <c r="J59" s="2">
        <v>-1226</v>
      </c>
      <c r="K59" s="2">
        <v>-2268</v>
      </c>
      <c r="L59" s="2">
        <v>-3299</v>
      </c>
      <c r="M59" s="2">
        <v>-4839</v>
      </c>
      <c r="N59" s="2">
        <v>-1346</v>
      </c>
      <c r="O59" s="2">
        <v>-2559</v>
      </c>
      <c r="P59" s="2">
        <v>-3869</v>
      </c>
      <c r="Q59" s="2">
        <v>-5375</v>
      </c>
      <c r="R59" s="2">
        <v>-1340</v>
      </c>
      <c r="S59" s="2">
        <v>-2808</v>
      </c>
      <c r="T59" s="2">
        <v>-4080</v>
      </c>
      <c r="U59" s="2">
        <v>-5428</v>
      </c>
      <c r="V59" s="2">
        <v>-1283</v>
      </c>
      <c r="W59" s="2">
        <v>-2301</v>
      </c>
      <c r="X59" s="2">
        <v>-3350</v>
      </c>
      <c r="Y59" s="2">
        <v>-4972</v>
      </c>
      <c r="Z59" s="2">
        <v>-1284</v>
      </c>
      <c r="AA59" s="9">
        <v>-2595</v>
      </c>
      <c r="AB59" s="9">
        <v>-4139</v>
      </c>
      <c r="AC59" s="9">
        <v>-5541</v>
      </c>
      <c r="AD59" s="2">
        <v>-1460</v>
      </c>
      <c r="AE59" s="2">
        <v>-2857</v>
      </c>
      <c r="AF59" s="2">
        <v>-4296</v>
      </c>
      <c r="AG59" s="2">
        <v>-5646</v>
      </c>
      <c r="AH59" s="2">
        <v>-1258</v>
      </c>
      <c r="AI59" s="2">
        <v>-2650</v>
      </c>
      <c r="AJ59" s="2">
        <v>-4002</v>
      </c>
      <c r="AK59" s="2">
        <v>-5454</v>
      </c>
      <c r="AL59" s="2">
        <v>-1447</v>
      </c>
      <c r="AM59" s="2">
        <v>-2973</v>
      </c>
      <c r="AN59" s="2">
        <v>-4454</v>
      </c>
      <c r="AO59" s="2">
        <v>-6019</v>
      </c>
      <c r="AP59" s="2">
        <v>-1380</v>
      </c>
      <c r="AQ59" s="2">
        <v>-2822</v>
      </c>
      <c r="AR59" s="2">
        <v>-4220</v>
      </c>
      <c r="AS59" s="2">
        <v>-5812</v>
      </c>
    </row>
    <row r="60" spans="1:45" ht="12.75">
      <c r="A60" s="240" t="s">
        <v>36</v>
      </c>
      <c r="B60" s="240"/>
      <c r="C60" s="241"/>
      <c r="E60" s="29" t="s">
        <v>15</v>
      </c>
      <c r="F60" s="2">
        <v>2</v>
      </c>
      <c r="G60" s="2">
        <v>8</v>
      </c>
      <c r="H60" s="2">
        <v>1</v>
      </c>
      <c r="I60" s="2">
        <v>207</v>
      </c>
      <c r="J60" s="2">
        <v>169</v>
      </c>
      <c r="K60" s="2">
        <v>166</v>
      </c>
      <c r="L60" s="2">
        <v>143</v>
      </c>
      <c r="M60" s="2">
        <v>173</v>
      </c>
      <c r="N60" s="2">
        <v>3</v>
      </c>
      <c r="O60" s="2">
        <v>-1</v>
      </c>
      <c r="P60" s="2">
        <v>-14</v>
      </c>
      <c r="Q60" s="2">
        <v>-61</v>
      </c>
      <c r="R60" s="2">
        <v>-13</v>
      </c>
      <c r="S60" s="2">
        <v>-1</v>
      </c>
      <c r="T60" s="2">
        <v>1</v>
      </c>
      <c r="U60" s="2">
        <v>-9</v>
      </c>
      <c r="V60" s="2">
        <v>82</v>
      </c>
      <c r="W60" s="2">
        <v>170</v>
      </c>
      <c r="X60" s="2">
        <v>170</v>
      </c>
      <c r="Y60" s="2">
        <v>190</v>
      </c>
      <c r="Z60" s="2">
        <v>1</v>
      </c>
      <c r="AA60" s="9">
        <v>58</v>
      </c>
      <c r="AB60" s="9">
        <v>55</v>
      </c>
      <c r="AC60" s="9">
        <v>59</v>
      </c>
      <c r="AD60" s="2">
        <v>2</v>
      </c>
      <c r="AE60" s="2">
        <v>-3</v>
      </c>
      <c r="AF60" s="2">
        <v>-12</v>
      </c>
      <c r="AG60" s="2">
        <v>6</v>
      </c>
      <c r="AH60" s="2">
        <v>-70</v>
      </c>
      <c r="AI60" s="2">
        <v>58</v>
      </c>
      <c r="AJ60" s="2">
        <v>46</v>
      </c>
      <c r="AK60" s="2">
        <v>103</v>
      </c>
      <c r="AL60" s="2">
        <v>-87</v>
      </c>
      <c r="AM60" s="2">
        <v>-341</v>
      </c>
      <c r="AN60" s="2">
        <v>-400</v>
      </c>
      <c r="AO60" s="2">
        <v>-2119</v>
      </c>
      <c r="AP60" s="2">
        <v>-96</v>
      </c>
      <c r="AQ60" s="2">
        <v>-191</v>
      </c>
      <c r="AR60" s="2">
        <v>-217</v>
      </c>
      <c r="AS60" s="2">
        <v>21</v>
      </c>
    </row>
    <row r="61" spans="1:45" ht="12.75">
      <c r="A61" s="240" t="s">
        <v>36</v>
      </c>
      <c r="B61" s="240"/>
      <c r="C61" s="241"/>
      <c r="E61" s="53" t="s">
        <v>454</v>
      </c>
      <c r="F61" s="2">
        <v>0</v>
      </c>
      <c r="G61" s="2">
        <v>-31</v>
      </c>
      <c r="H61" s="2">
        <v>-31</v>
      </c>
      <c r="I61" s="2">
        <v>-362</v>
      </c>
      <c r="J61" s="2">
        <v>34</v>
      </c>
      <c r="K61" s="2">
        <v>-505</v>
      </c>
      <c r="L61" s="2">
        <v>-397</v>
      </c>
      <c r="M61" s="2">
        <v>-355</v>
      </c>
      <c r="N61" s="2">
        <v>-424</v>
      </c>
      <c r="O61" s="2">
        <v>-399</v>
      </c>
      <c r="P61" s="2">
        <v>-343</v>
      </c>
      <c r="Q61" s="2">
        <v>-1561</v>
      </c>
      <c r="R61" s="2">
        <v>-95</v>
      </c>
      <c r="S61" s="2">
        <v>-302</v>
      </c>
      <c r="T61" s="2">
        <v>-302</v>
      </c>
      <c r="U61" s="2">
        <v>-1064</v>
      </c>
      <c r="V61" s="2">
        <v>0</v>
      </c>
      <c r="W61" s="2">
        <v>0</v>
      </c>
      <c r="X61" s="2">
        <v>-34</v>
      </c>
      <c r="Y61" s="2">
        <v>-138</v>
      </c>
      <c r="Z61" s="2">
        <v>0</v>
      </c>
      <c r="AA61" s="9">
        <v>0</v>
      </c>
      <c r="AB61" s="9">
        <v>0</v>
      </c>
      <c r="AC61" s="9">
        <v>-1032</v>
      </c>
      <c r="AD61" s="2">
        <v>-82</v>
      </c>
      <c r="AE61" s="2">
        <v>-82</v>
      </c>
      <c r="AF61" s="2">
        <v>-82</v>
      </c>
      <c r="AG61" s="2">
        <v>-2475</v>
      </c>
      <c r="AH61" s="2"/>
      <c r="AI61" s="2"/>
      <c r="AJ61" s="2"/>
      <c r="AK61" s="2"/>
      <c r="AL61" s="2"/>
      <c r="AM61" s="2"/>
      <c r="AN61" s="2"/>
      <c r="AO61" s="2"/>
      <c r="AP61" s="2"/>
      <c r="AQ61" s="2"/>
      <c r="AR61" s="2"/>
      <c r="AS61" s="2"/>
    </row>
    <row r="62" spans="1:45" ht="12.75">
      <c r="A62" s="240" t="s">
        <v>37</v>
      </c>
      <c r="B62" s="240"/>
      <c r="C62" s="241"/>
      <c r="E62" s="77" t="s">
        <v>17</v>
      </c>
      <c r="F62" s="1">
        <v>757</v>
      </c>
      <c r="G62" s="1">
        <v>1647</v>
      </c>
      <c r="H62" s="1">
        <v>2799</v>
      </c>
      <c r="I62" s="1">
        <v>4475</v>
      </c>
      <c r="J62" s="1">
        <v>-5</v>
      </c>
      <c r="K62" s="1">
        <v>249</v>
      </c>
      <c r="L62" s="1">
        <v>1535</v>
      </c>
      <c r="M62" s="1">
        <v>1188</v>
      </c>
      <c r="N62" s="1">
        <v>-386</v>
      </c>
      <c r="O62" s="1">
        <v>666</v>
      </c>
      <c r="P62" s="1">
        <v>2956</v>
      </c>
      <c r="Q62" s="1">
        <v>3761</v>
      </c>
      <c r="R62" s="1">
        <v>1231</v>
      </c>
      <c r="S62" s="1">
        <v>2501</v>
      </c>
      <c r="T62" s="1">
        <v>4478</v>
      </c>
      <c r="U62" s="1">
        <v>5430</v>
      </c>
      <c r="V62" s="1">
        <v>696</v>
      </c>
      <c r="W62" s="1">
        <v>1441</v>
      </c>
      <c r="X62" s="1">
        <v>2505</v>
      </c>
      <c r="Y62" s="1">
        <v>3017</v>
      </c>
      <c r="Z62" s="1">
        <v>907</v>
      </c>
      <c r="AA62" s="1">
        <v>2019</v>
      </c>
      <c r="AB62" s="1">
        <v>3442</v>
      </c>
      <c r="AC62" s="1">
        <v>4000</v>
      </c>
      <c r="AD62" s="1">
        <v>638</v>
      </c>
      <c r="AE62" s="1">
        <v>1675</v>
      </c>
      <c r="AF62" s="1">
        <v>2750</v>
      </c>
      <c r="AG62" s="1">
        <v>1580</v>
      </c>
      <c r="AH62" s="1">
        <v>731</v>
      </c>
      <c r="AI62" s="1">
        <v>794</v>
      </c>
      <c r="AJ62" s="1">
        <v>2186</v>
      </c>
      <c r="AK62" s="1">
        <v>3581</v>
      </c>
      <c r="AL62" s="1">
        <v>516</v>
      </c>
      <c r="AM62" s="1">
        <v>1437</v>
      </c>
      <c r="AN62" s="1">
        <v>2943</v>
      </c>
      <c r="AO62" s="1">
        <v>2741</v>
      </c>
      <c r="AP62" s="1">
        <v>1268</v>
      </c>
      <c r="AQ62" s="1">
        <v>2832</v>
      </c>
      <c r="AR62" s="1">
        <v>4658</v>
      </c>
      <c r="AS62" s="1">
        <v>6274</v>
      </c>
    </row>
    <row r="63" spans="1:45" ht="12.75">
      <c r="A63" s="240" t="s">
        <v>36</v>
      </c>
      <c r="B63" s="240"/>
      <c r="C63" s="241" t="s">
        <v>530</v>
      </c>
      <c r="E63" s="53" t="s">
        <v>540</v>
      </c>
      <c r="F63" s="3">
        <v>3.036502206177296</v>
      </c>
      <c r="G63" s="3">
        <v>3.2475598935226264</v>
      </c>
      <c r="H63" s="3">
        <v>3.63086821725538</v>
      </c>
      <c r="I63" s="3">
        <v>4.272810602299202</v>
      </c>
      <c r="J63" s="3">
        <v>-0.020667135121729425</v>
      </c>
      <c r="K63" s="3">
        <v>0.5002008838891121</v>
      </c>
      <c r="L63" s="3">
        <v>2.016314413692548</v>
      </c>
      <c r="M63" s="3">
        <v>1.1336743262844493</v>
      </c>
      <c r="N63" s="3">
        <v>-1.4950809512743048</v>
      </c>
      <c r="O63" s="3">
        <v>1.2495309568480302</v>
      </c>
      <c r="P63" s="3">
        <v>3.653126042735148</v>
      </c>
      <c r="Q63" s="3">
        <v>3.446285232562402</v>
      </c>
      <c r="R63" s="3">
        <v>4.897942943540365</v>
      </c>
      <c r="S63" s="3">
        <v>4.768896346579209</v>
      </c>
      <c r="T63" s="3">
        <v>5.684905420845499</v>
      </c>
      <c r="U63" s="3">
        <v>5.10693527453304</v>
      </c>
      <c r="V63" s="3">
        <v>2.9697900665642605</v>
      </c>
      <c r="W63" s="3">
        <v>3.028647092204544</v>
      </c>
      <c r="X63" s="3">
        <v>3.4207759221073615</v>
      </c>
      <c r="Y63" s="3">
        <v>2.9695466446189887</v>
      </c>
      <c r="Z63" s="3">
        <v>3.5053140096618356</v>
      </c>
      <c r="AA63" s="10">
        <v>3.76412245050151</v>
      </c>
      <c r="AB63" s="10">
        <v>4.259426549023005</v>
      </c>
      <c r="AC63" s="10">
        <v>3.6</v>
      </c>
      <c r="AD63" s="3">
        <v>2.5189513581806695</v>
      </c>
      <c r="AE63" s="3">
        <v>3.1602581034677937</v>
      </c>
      <c r="AF63" s="3">
        <v>3.4263643159730877</v>
      </c>
      <c r="AG63" s="3">
        <v>1.4475359822631035</v>
      </c>
      <c r="AH63" s="3">
        <v>2.8522376994810568</v>
      </c>
      <c r="AI63" s="3">
        <v>1.5281279470351623</v>
      </c>
      <c r="AJ63" s="3">
        <v>2.7073554363845784</v>
      </c>
      <c r="AK63" s="3">
        <v>3.193244339816128</v>
      </c>
      <c r="AL63" s="3">
        <v>1.7739883796885205</v>
      </c>
      <c r="AM63" s="3">
        <v>2.377485854207339</v>
      </c>
      <c r="AN63" s="3">
        <v>3.2087835406740295</v>
      </c>
      <c r="AO63" s="3">
        <v>2.2192355336771623</v>
      </c>
      <c r="AP63" s="3">
        <v>4.510208437077613</v>
      </c>
      <c r="AQ63" s="3">
        <v>4.874606261941236</v>
      </c>
      <c r="AR63" s="3">
        <v>5.236708675758019</v>
      </c>
      <c r="AS63" s="3">
        <v>5.18114176707159</v>
      </c>
    </row>
    <row r="64" spans="1:45" ht="12.75">
      <c r="A64" s="240" t="s">
        <v>36</v>
      </c>
      <c r="B64" s="240"/>
      <c r="C64" s="241"/>
      <c r="E64" s="29" t="s">
        <v>18</v>
      </c>
      <c r="F64" s="2">
        <v>-87</v>
      </c>
      <c r="G64" s="2">
        <v>-225</v>
      </c>
      <c r="H64" s="2">
        <v>-340</v>
      </c>
      <c r="I64" s="2">
        <v>-440</v>
      </c>
      <c r="J64" s="2">
        <v>-144</v>
      </c>
      <c r="K64" s="2">
        <v>-258</v>
      </c>
      <c r="L64" s="2">
        <v>-352</v>
      </c>
      <c r="M64" s="2">
        <v>-535</v>
      </c>
      <c r="N64" s="2">
        <v>-107</v>
      </c>
      <c r="O64" s="2">
        <v>-227</v>
      </c>
      <c r="P64" s="2">
        <v>-273</v>
      </c>
      <c r="Q64" s="2">
        <v>-277</v>
      </c>
      <c r="R64" s="2">
        <v>-20</v>
      </c>
      <c r="S64" s="2">
        <v>-21</v>
      </c>
      <c r="T64" s="2">
        <v>-97</v>
      </c>
      <c r="U64" s="2">
        <v>-124</v>
      </c>
      <c r="V64" s="2">
        <v>-59</v>
      </c>
      <c r="W64" s="2">
        <v>-108</v>
      </c>
      <c r="X64" s="2">
        <v>-53</v>
      </c>
      <c r="Y64" s="2">
        <v>-237</v>
      </c>
      <c r="Z64" s="2">
        <v>-195</v>
      </c>
      <c r="AA64" s="9">
        <v>-397</v>
      </c>
      <c r="AB64" s="9">
        <v>-650</v>
      </c>
      <c r="AC64" s="9">
        <v>-846</v>
      </c>
      <c r="AD64" s="2">
        <v>-155</v>
      </c>
      <c r="AE64" s="2">
        <v>-333</v>
      </c>
      <c r="AF64" s="2">
        <v>-524</v>
      </c>
      <c r="AG64" s="2">
        <v>-676</v>
      </c>
      <c r="AH64" s="2">
        <v>-156</v>
      </c>
      <c r="AI64" s="2">
        <v>-339</v>
      </c>
      <c r="AJ64" s="2">
        <v>-481</v>
      </c>
      <c r="AK64" s="2">
        <v>-584</v>
      </c>
      <c r="AL64" s="2">
        <v>-66</v>
      </c>
      <c r="AM64" s="2">
        <v>-172</v>
      </c>
      <c r="AN64" s="2">
        <v>-317</v>
      </c>
      <c r="AO64" s="2">
        <v>-640</v>
      </c>
      <c r="AP64" s="2">
        <v>-105</v>
      </c>
      <c r="AQ64" s="2">
        <v>-221</v>
      </c>
      <c r="AR64" s="2">
        <v>-322</v>
      </c>
      <c r="AS64" s="2">
        <v>-693</v>
      </c>
    </row>
    <row r="65" spans="1:45" ht="12.75">
      <c r="A65" s="240" t="s">
        <v>37</v>
      </c>
      <c r="B65" s="240"/>
      <c r="C65" s="241"/>
      <c r="E65" s="75" t="s">
        <v>19</v>
      </c>
      <c r="F65" s="1">
        <v>670</v>
      </c>
      <c r="G65" s="1">
        <v>1422</v>
      </c>
      <c r="H65" s="1">
        <v>2459</v>
      </c>
      <c r="I65" s="1">
        <v>4035</v>
      </c>
      <c r="J65" s="1">
        <v>-149</v>
      </c>
      <c r="K65" s="1">
        <v>-9</v>
      </c>
      <c r="L65" s="1">
        <v>1183</v>
      </c>
      <c r="M65" s="1">
        <v>653</v>
      </c>
      <c r="N65" s="1">
        <v>-493</v>
      </c>
      <c r="O65" s="1">
        <v>439</v>
      </c>
      <c r="P65" s="1">
        <v>2683</v>
      </c>
      <c r="Q65" s="1">
        <v>3484</v>
      </c>
      <c r="R65" s="1">
        <v>1211</v>
      </c>
      <c r="S65" s="1">
        <v>2480</v>
      </c>
      <c r="T65" s="1">
        <v>4381</v>
      </c>
      <c r="U65" s="1">
        <v>5306</v>
      </c>
      <c r="V65" s="1">
        <v>637</v>
      </c>
      <c r="W65" s="1">
        <v>1333</v>
      </c>
      <c r="X65" s="1">
        <v>2452</v>
      </c>
      <c r="Y65" s="1">
        <v>2780</v>
      </c>
      <c r="Z65" s="1">
        <v>712</v>
      </c>
      <c r="AA65" s="1">
        <v>1622</v>
      </c>
      <c r="AB65" s="1">
        <v>2792</v>
      </c>
      <c r="AC65" s="1">
        <v>3154</v>
      </c>
      <c r="AD65" s="1">
        <v>483</v>
      </c>
      <c r="AE65" s="1">
        <v>1342</v>
      </c>
      <c r="AF65" s="1">
        <v>2226</v>
      </c>
      <c r="AG65" s="1">
        <v>904</v>
      </c>
      <c r="AH65" s="1">
        <v>575</v>
      </c>
      <c r="AI65" s="1">
        <v>455</v>
      </c>
      <c r="AJ65" s="1">
        <v>1705</v>
      </c>
      <c r="AK65" s="1">
        <v>2997</v>
      </c>
      <c r="AL65" s="1">
        <v>450</v>
      </c>
      <c r="AM65" s="1">
        <v>1265</v>
      </c>
      <c r="AN65" s="1">
        <v>2626</v>
      </c>
      <c r="AO65" s="1">
        <v>2101</v>
      </c>
      <c r="AP65" s="1">
        <v>1163</v>
      </c>
      <c r="AQ65" s="1">
        <v>2611</v>
      </c>
      <c r="AR65" s="1">
        <v>4336</v>
      </c>
      <c r="AS65" s="1">
        <v>5581</v>
      </c>
    </row>
    <row r="66" spans="1:45" ht="12.75">
      <c r="A66" s="240" t="s">
        <v>36</v>
      </c>
      <c r="B66" s="240"/>
      <c r="C66" s="241" t="s">
        <v>530</v>
      </c>
      <c r="E66" s="53" t="s">
        <v>540</v>
      </c>
      <c r="F66" s="3">
        <v>2.6875250701965503</v>
      </c>
      <c r="G66" s="3">
        <v>2.803904170363798</v>
      </c>
      <c r="H66" s="3">
        <v>3.1898195592107825</v>
      </c>
      <c r="I66" s="3">
        <v>3.8526906771569336</v>
      </c>
      <c r="J66" s="3">
        <v>-0.615880626627537</v>
      </c>
      <c r="K66" s="3">
        <v>-0.01807955002008839</v>
      </c>
      <c r="L66" s="3">
        <v>1.5539413364158206</v>
      </c>
      <c r="M66" s="3">
        <v>0.6231391709290786</v>
      </c>
      <c r="N66" s="3">
        <v>-1.9095204895809126</v>
      </c>
      <c r="O66" s="3">
        <v>0.8236397748592871</v>
      </c>
      <c r="P66" s="3">
        <v>3.3157432925096084</v>
      </c>
      <c r="Q66" s="3">
        <v>3.1924641718286115</v>
      </c>
      <c r="R66" s="3">
        <v>4.818366291330124</v>
      </c>
      <c r="S66" s="3">
        <v>4.728853634352833</v>
      </c>
      <c r="T66" s="3">
        <v>5.5617620921670685</v>
      </c>
      <c r="U66" s="3">
        <v>4.990312811541862</v>
      </c>
      <c r="V66" s="3">
        <v>2.7180406212664274</v>
      </c>
      <c r="W66" s="3">
        <v>2.801656192858194</v>
      </c>
      <c r="X66" s="3">
        <v>3.348400223954991</v>
      </c>
      <c r="Y66" s="3">
        <v>2.7362743361089783</v>
      </c>
      <c r="Z66" s="3">
        <v>2.7516908212560387</v>
      </c>
      <c r="AA66" s="10">
        <v>3.0239755397292964</v>
      </c>
      <c r="AB66" s="10">
        <v>3.4550606986845525</v>
      </c>
      <c r="AC66" s="10">
        <v>2.9</v>
      </c>
      <c r="AD66" s="3">
        <v>1.90698041692988</v>
      </c>
      <c r="AE66" s="3">
        <v>2.5319799252858384</v>
      </c>
      <c r="AF66" s="3">
        <v>2.7734861699476703</v>
      </c>
      <c r="AG66" s="3">
        <v>0.8282104607378769</v>
      </c>
      <c r="AH66" s="3">
        <v>2.2435522259939913</v>
      </c>
      <c r="AI66" s="3">
        <v>0.8756904482380338</v>
      </c>
      <c r="AJ66" s="3">
        <v>2.1116381605835803</v>
      </c>
      <c r="AK66" s="3">
        <v>2.6724806719991436</v>
      </c>
      <c r="AL66" s="3">
        <v>1.5470828892632449</v>
      </c>
      <c r="AM66" s="3">
        <v>2.0929155223189175</v>
      </c>
      <c r="AN66" s="3">
        <v>2.8631551402684345</v>
      </c>
      <c r="AO66" s="3">
        <v>1.701063063208945</v>
      </c>
      <c r="AP66" s="3">
        <v>4.136729031799104</v>
      </c>
      <c r="AQ66" s="3">
        <v>4.494207962545398</v>
      </c>
      <c r="AR66" s="3">
        <v>4.874703481770453</v>
      </c>
      <c r="AS66" s="3">
        <v>4.608854351614049</v>
      </c>
    </row>
    <row r="67" spans="1:45" ht="12.75">
      <c r="A67" s="240" t="s">
        <v>36</v>
      </c>
      <c r="B67" s="240"/>
      <c r="C67" s="241"/>
      <c r="E67" s="29" t="s">
        <v>20</v>
      </c>
      <c r="F67" s="2">
        <v>-178</v>
      </c>
      <c r="G67" s="2">
        <v>-385</v>
      </c>
      <c r="H67" s="2">
        <v>-660</v>
      </c>
      <c r="I67" s="2">
        <v>-1110</v>
      </c>
      <c r="J67" s="2">
        <v>43</v>
      </c>
      <c r="K67" s="2">
        <v>2</v>
      </c>
      <c r="L67" s="2">
        <v>-343</v>
      </c>
      <c r="M67" s="2">
        <v>-287</v>
      </c>
      <c r="N67" s="2">
        <v>147</v>
      </c>
      <c r="O67" s="2">
        <v>-127</v>
      </c>
      <c r="P67" s="2">
        <v>-740</v>
      </c>
      <c r="Q67" s="2">
        <v>-877</v>
      </c>
      <c r="R67" s="2">
        <v>-300</v>
      </c>
      <c r="S67" s="2">
        <v>-541</v>
      </c>
      <c r="T67" s="2">
        <v>-1061</v>
      </c>
      <c r="U67" s="2">
        <v>-1309</v>
      </c>
      <c r="V67" s="2">
        <v>-180</v>
      </c>
      <c r="W67" s="2">
        <v>-315</v>
      </c>
      <c r="X67" s="2">
        <v>-609</v>
      </c>
      <c r="Y67" s="2">
        <v>-716</v>
      </c>
      <c r="Z67" s="2">
        <v>-213</v>
      </c>
      <c r="AA67" s="9">
        <v>-422</v>
      </c>
      <c r="AB67" s="9">
        <v>-669</v>
      </c>
      <c r="AC67" s="9">
        <v>-789</v>
      </c>
      <c r="AD67" s="2">
        <v>-122</v>
      </c>
      <c r="AE67" s="2">
        <v>-339</v>
      </c>
      <c r="AF67" s="2">
        <v>-567</v>
      </c>
      <c r="AG67" s="2">
        <v>-232</v>
      </c>
      <c r="AH67" s="2">
        <v>-144</v>
      </c>
      <c r="AI67" s="2">
        <v>-116</v>
      </c>
      <c r="AJ67" s="2">
        <v>-433</v>
      </c>
      <c r="AK67" s="2">
        <v>-755</v>
      </c>
      <c r="AL67" s="2">
        <v>-111</v>
      </c>
      <c r="AM67" s="2">
        <v>-318</v>
      </c>
      <c r="AN67" s="2">
        <v>-665</v>
      </c>
      <c r="AO67" s="2">
        <v>-533</v>
      </c>
      <c r="AP67" s="2">
        <v>-288</v>
      </c>
      <c r="AQ67" s="2">
        <v>-657</v>
      </c>
      <c r="AR67" s="2">
        <v>-1115</v>
      </c>
      <c r="AS67" s="2">
        <v>-1088</v>
      </c>
    </row>
    <row r="68" spans="1:45" ht="12.75">
      <c r="A68" s="240" t="s">
        <v>37</v>
      </c>
      <c r="B68" s="240"/>
      <c r="C68" s="241"/>
      <c r="E68" s="77" t="s">
        <v>21</v>
      </c>
      <c r="F68" s="1">
        <v>492</v>
      </c>
      <c r="G68" s="1">
        <v>1037</v>
      </c>
      <c r="H68" s="1">
        <v>1799</v>
      </c>
      <c r="I68" s="1">
        <v>2925</v>
      </c>
      <c r="J68" s="1">
        <v>-106</v>
      </c>
      <c r="K68" s="1">
        <v>-7</v>
      </c>
      <c r="L68" s="1">
        <v>840</v>
      </c>
      <c r="M68" s="1">
        <v>366</v>
      </c>
      <c r="N68" s="1">
        <v>-346</v>
      </c>
      <c r="O68" s="1">
        <v>312</v>
      </c>
      <c r="P68" s="1">
        <v>1943</v>
      </c>
      <c r="Q68" s="1">
        <v>2607</v>
      </c>
      <c r="R68" s="1">
        <v>911</v>
      </c>
      <c r="S68" s="1">
        <v>1939</v>
      </c>
      <c r="T68" s="1">
        <v>3320</v>
      </c>
      <c r="U68" s="1">
        <v>3997</v>
      </c>
      <c r="V68" s="1">
        <v>457</v>
      </c>
      <c r="W68" s="1">
        <v>1018</v>
      </c>
      <c r="X68" s="1">
        <v>1843</v>
      </c>
      <c r="Y68" s="1">
        <v>2064</v>
      </c>
      <c r="Z68" s="1">
        <v>499</v>
      </c>
      <c r="AA68" s="14">
        <v>1200</v>
      </c>
      <c r="AB68" s="14">
        <v>2123</v>
      </c>
      <c r="AC68" s="14">
        <v>2365</v>
      </c>
      <c r="AD68" s="1">
        <v>361</v>
      </c>
      <c r="AE68" s="1">
        <v>1003</v>
      </c>
      <c r="AF68" s="1">
        <v>1659</v>
      </c>
      <c r="AG68" s="1">
        <v>672</v>
      </c>
      <c r="AH68" s="1">
        <v>431</v>
      </c>
      <c r="AI68" s="1">
        <v>339</v>
      </c>
      <c r="AJ68" s="1">
        <v>1272</v>
      </c>
      <c r="AK68" s="1">
        <v>2242</v>
      </c>
      <c r="AL68" s="1">
        <v>339</v>
      </c>
      <c r="AM68" s="1">
        <v>947</v>
      </c>
      <c r="AN68" s="1">
        <v>1961</v>
      </c>
      <c r="AO68" s="1">
        <v>1568</v>
      </c>
      <c r="AP68" s="1">
        <v>875</v>
      </c>
      <c r="AQ68" s="1">
        <v>1954</v>
      </c>
      <c r="AR68" s="1">
        <v>3221</v>
      </c>
      <c r="AS68" s="1">
        <v>4493</v>
      </c>
    </row>
    <row r="69" spans="1:45" ht="12.75">
      <c r="A69" s="240" t="s">
        <v>38</v>
      </c>
      <c r="B69" s="240"/>
      <c r="C69" s="241"/>
      <c r="E69" s="77"/>
      <c r="F69" s="1"/>
      <c r="G69" s="1"/>
      <c r="H69" s="1"/>
      <c r="I69" s="1"/>
      <c r="J69" s="1"/>
      <c r="K69" s="1"/>
      <c r="L69" s="1"/>
      <c r="M69" s="1"/>
      <c r="N69" s="1"/>
      <c r="O69" s="1"/>
      <c r="P69" s="1"/>
      <c r="Q69" s="1"/>
      <c r="R69" s="1"/>
      <c r="S69" s="1"/>
      <c r="T69" s="1"/>
      <c r="U69" s="1"/>
      <c r="V69" s="1"/>
      <c r="W69" s="1"/>
      <c r="X69" s="1"/>
      <c r="Y69" s="1"/>
      <c r="Z69" s="1"/>
      <c r="AA69" s="14"/>
      <c r="AB69" s="14"/>
      <c r="AC69" s="14"/>
      <c r="AD69" s="1"/>
      <c r="AE69" s="1"/>
      <c r="AF69" s="1"/>
      <c r="AG69" s="1"/>
      <c r="AH69" s="1"/>
      <c r="AI69" s="1"/>
      <c r="AJ69" s="1"/>
      <c r="AK69" s="1"/>
      <c r="AL69" s="1"/>
      <c r="AM69" s="1"/>
      <c r="AN69" s="1"/>
      <c r="AO69" s="1"/>
      <c r="AP69" s="1"/>
      <c r="AQ69" s="1"/>
      <c r="AR69" s="1"/>
      <c r="AS69" s="1"/>
    </row>
    <row r="70" spans="1:45" s="33" customFormat="1" ht="12.75">
      <c r="A70" s="238" t="s">
        <v>571</v>
      </c>
      <c r="B70" s="238"/>
      <c r="C70" s="239"/>
      <c r="E70" s="80" t="s">
        <v>423</v>
      </c>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row>
    <row r="71" spans="1:45" ht="12.75">
      <c r="A71" s="240" t="s">
        <v>36</v>
      </c>
      <c r="B71" s="240"/>
      <c r="C71" s="241"/>
      <c r="E71" s="53" t="s">
        <v>472</v>
      </c>
      <c r="F71" s="2"/>
      <c r="G71" s="2"/>
      <c r="H71" s="2"/>
      <c r="I71" s="2"/>
      <c r="J71" s="2"/>
      <c r="K71" s="2"/>
      <c r="L71" s="2"/>
      <c r="M71" s="2"/>
      <c r="N71" s="2"/>
      <c r="O71" s="2"/>
      <c r="P71" s="2"/>
      <c r="Q71" s="2"/>
      <c r="R71" s="2"/>
      <c r="S71" s="2"/>
      <c r="T71" s="2"/>
      <c r="U71" s="2"/>
      <c r="V71" s="2"/>
      <c r="W71" s="2"/>
      <c r="X71" s="2"/>
      <c r="Y71" s="2"/>
      <c r="Z71" s="2">
        <v>1016</v>
      </c>
      <c r="AA71" s="9">
        <v>1</v>
      </c>
      <c r="AB71" s="9">
        <v>-264</v>
      </c>
      <c r="AC71" s="9">
        <v>-917</v>
      </c>
      <c r="AD71" s="2">
        <v>730</v>
      </c>
      <c r="AE71" s="2">
        <v>1653</v>
      </c>
      <c r="AF71" s="2">
        <v>1669</v>
      </c>
      <c r="AG71" s="2">
        <v>1851</v>
      </c>
      <c r="AH71" s="2">
        <v>-243</v>
      </c>
      <c r="AI71" s="2">
        <v>-390</v>
      </c>
      <c r="AJ71" s="2">
        <v>-544</v>
      </c>
      <c r="AK71" s="2">
        <v>-1534</v>
      </c>
      <c r="AL71" s="2">
        <v>-795</v>
      </c>
      <c r="AM71" s="2">
        <v>756</v>
      </c>
      <c r="AN71" s="2">
        <v>60</v>
      </c>
      <c r="AO71" s="2">
        <v>343</v>
      </c>
      <c r="AP71" s="2">
        <v>-1576</v>
      </c>
      <c r="AQ71" s="2">
        <v>-1959</v>
      </c>
      <c r="AR71" s="2">
        <v>-1836</v>
      </c>
      <c r="AS71" s="2">
        <v>-236</v>
      </c>
    </row>
    <row r="72" spans="1:45" ht="12.75">
      <c r="A72" s="240" t="s">
        <v>36</v>
      </c>
      <c r="B72" s="240"/>
      <c r="C72" s="241"/>
      <c r="E72" s="53" t="s">
        <v>424</v>
      </c>
      <c r="F72" s="1"/>
      <c r="G72" s="1"/>
      <c r="H72" s="1"/>
      <c r="I72" s="1"/>
      <c r="J72" s="1"/>
      <c r="K72" s="1"/>
      <c r="L72" s="1"/>
      <c r="M72" s="1"/>
      <c r="N72" s="1"/>
      <c r="O72" s="1"/>
      <c r="P72" s="1"/>
      <c r="Q72" s="1"/>
      <c r="R72" s="1"/>
      <c r="S72" s="1"/>
      <c r="T72" s="1"/>
      <c r="U72" s="1"/>
      <c r="V72" s="1"/>
      <c r="W72" s="1"/>
      <c r="X72" s="1"/>
      <c r="Y72" s="1"/>
      <c r="Z72" s="9">
        <v>-188</v>
      </c>
      <c r="AA72" s="9">
        <v>11</v>
      </c>
      <c r="AB72" s="9">
        <v>61</v>
      </c>
      <c r="AC72" s="9">
        <v>51</v>
      </c>
      <c r="AD72" s="2">
        <v>-182</v>
      </c>
      <c r="AE72" s="2">
        <v>-410</v>
      </c>
      <c r="AF72" s="2">
        <v>-476</v>
      </c>
      <c r="AG72" s="2">
        <v>-636</v>
      </c>
      <c r="AH72" s="2">
        <v>-3</v>
      </c>
      <c r="AI72" s="2">
        <v>34</v>
      </c>
      <c r="AJ72" s="2">
        <v>465</v>
      </c>
      <c r="AK72" s="2">
        <v>808</v>
      </c>
      <c r="AL72" s="2">
        <v>179</v>
      </c>
      <c r="AM72" s="2">
        <v>-217</v>
      </c>
      <c r="AN72" s="2">
        <v>4</v>
      </c>
      <c r="AO72" s="2">
        <v>-114</v>
      </c>
      <c r="AP72" s="2">
        <v>443</v>
      </c>
      <c r="AQ72" s="2">
        <v>541</v>
      </c>
      <c r="AR72" s="2">
        <v>496</v>
      </c>
      <c r="AS72" s="2">
        <v>44</v>
      </c>
    </row>
    <row r="73" spans="1:45" ht="12.75">
      <c r="A73" s="240" t="s">
        <v>38</v>
      </c>
      <c r="B73" s="240"/>
      <c r="C73" s="241"/>
      <c r="E73" s="62" t="s">
        <v>27</v>
      </c>
      <c r="F73" s="1"/>
      <c r="G73" s="1"/>
      <c r="H73" s="1"/>
      <c r="I73" s="1"/>
      <c r="J73" s="1"/>
      <c r="K73" s="1"/>
      <c r="L73" s="1"/>
      <c r="M73" s="1"/>
      <c r="N73" s="1"/>
      <c r="O73" s="1"/>
      <c r="P73" s="1"/>
      <c r="Q73" s="1"/>
      <c r="R73" s="1"/>
      <c r="S73" s="1"/>
      <c r="T73" s="1"/>
      <c r="U73" s="1"/>
      <c r="V73" s="1"/>
      <c r="W73" s="1"/>
      <c r="X73" s="1"/>
      <c r="Y73" s="1"/>
      <c r="Z73" s="9">
        <v>828</v>
      </c>
      <c r="AA73" s="9">
        <f>SUM(AA71:AA72)</f>
        <v>12</v>
      </c>
      <c r="AB73" s="9">
        <f>SUM(AB71:AB72)</f>
        <v>-203</v>
      </c>
      <c r="AC73" s="9">
        <f>SUM(AC71:AC72)</f>
        <v>-866</v>
      </c>
      <c r="AD73" s="2">
        <v>548</v>
      </c>
      <c r="AE73" s="2">
        <v>1243</v>
      </c>
      <c r="AF73" s="2">
        <v>1193</v>
      </c>
      <c r="AG73" s="2">
        <v>1215</v>
      </c>
      <c r="AH73" s="2">
        <v>-246</v>
      </c>
      <c r="AI73" s="2">
        <v>-356</v>
      </c>
      <c r="AJ73" s="2">
        <v>-79</v>
      </c>
      <c r="AK73" s="2">
        <v>-726</v>
      </c>
      <c r="AL73" s="2">
        <v>-616</v>
      </c>
      <c r="AM73" s="2">
        <v>539</v>
      </c>
      <c r="AN73" s="2">
        <v>64</v>
      </c>
      <c r="AO73" s="2">
        <v>229</v>
      </c>
      <c r="AP73" s="2">
        <v>-1133</v>
      </c>
      <c r="AQ73" s="2">
        <v>-1418</v>
      </c>
      <c r="AR73" s="2">
        <v>-1340</v>
      </c>
      <c r="AS73" s="2">
        <v>-192</v>
      </c>
    </row>
    <row r="74" spans="1:45" s="33" customFormat="1" ht="12.75">
      <c r="A74" s="238" t="s">
        <v>571</v>
      </c>
      <c r="B74" s="238"/>
      <c r="C74" s="239"/>
      <c r="E74" s="80" t="s">
        <v>422</v>
      </c>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24"/>
      <c r="AM74" s="224"/>
      <c r="AN74" s="224"/>
      <c r="AO74" s="224"/>
      <c r="AP74" s="224"/>
      <c r="AQ74" s="224"/>
      <c r="AR74" s="224"/>
      <c r="AS74" s="224"/>
    </row>
    <row r="75" spans="1:45" ht="12.75">
      <c r="A75" s="240" t="s">
        <v>36</v>
      </c>
      <c r="B75" s="240"/>
      <c r="C75" s="241"/>
      <c r="E75" s="53" t="s">
        <v>455</v>
      </c>
      <c r="F75" s="2">
        <v>21</v>
      </c>
      <c r="G75" s="2">
        <v>38</v>
      </c>
      <c r="H75" s="2">
        <v>8</v>
      </c>
      <c r="I75" s="2">
        <v>248</v>
      </c>
      <c r="J75" s="2">
        <v>-324</v>
      </c>
      <c r="K75" s="2">
        <v>-357</v>
      </c>
      <c r="L75" s="2">
        <v>-392</v>
      </c>
      <c r="M75" s="2">
        <v>-403</v>
      </c>
      <c r="N75" s="2">
        <v>-16</v>
      </c>
      <c r="O75" s="2">
        <v>74</v>
      </c>
      <c r="P75" s="2">
        <v>129</v>
      </c>
      <c r="Q75" s="2">
        <v>138</v>
      </c>
      <c r="R75" s="2">
        <v>28</v>
      </c>
      <c r="S75" s="2">
        <v>29</v>
      </c>
      <c r="T75" s="2">
        <v>140</v>
      </c>
      <c r="U75" s="2">
        <v>77</v>
      </c>
      <c r="V75" s="2">
        <v>-58</v>
      </c>
      <c r="W75" s="2">
        <v>-52</v>
      </c>
      <c r="X75" s="2">
        <v>-78</v>
      </c>
      <c r="Y75" s="2">
        <v>-91</v>
      </c>
      <c r="Z75" s="2">
        <v>-2</v>
      </c>
      <c r="AA75" s="9">
        <v>-14</v>
      </c>
      <c r="AB75" s="9">
        <v>-9</v>
      </c>
      <c r="AC75" s="9">
        <v>23</v>
      </c>
      <c r="AD75" s="2">
        <v>-15</v>
      </c>
      <c r="AE75" s="2">
        <v>-14</v>
      </c>
      <c r="AF75" s="2">
        <v>-68</v>
      </c>
      <c r="AG75" s="2">
        <v>-69</v>
      </c>
      <c r="AH75" s="2">
        <v>-5</v>
      </c>
      <c r="AI75" s="2">
        <v>23</v>
      </c>
      <c r="AJ75" s="2">
        <v>19</v>
      </c>
      <c r="AK75" s="2">
        <v>19</v>
      </c>
      <c r="AL75" s="2">
        <v>10</v>
      </c>
      <c r="AM75" s="2">
        <v>5</v>
      </c>
      <c r="AN75" s="2">
        <v>-19</v>
      </c>
      <c r="AO75" s="2">
        <v>-39</v>
      </c>
      <c r="AP75" s="2">
        <v>-20</v>
      </c>
      <c r="AQ75" s="2">
        <v>-24</v>
      </c>
      <c r="AR75" s="2">
        <v>-18</v>
      </c>
      <c r="AS75" s="2">
        <v>43</v>
      </c>
    </row>
    <row r="76" spans="1:45" ht="12.75">
      <c r="A76" s="240" t="s">
        <v>36</v>
      </c>
      <c r="B76" s="240"/>
      <c r="C76" s="241"/>
      <c r="E76" s="53" t="s">
        <v>456</v>
      </c>
      <c r="F76" s="2">
        <v>18</v>
      </c>
      <c r="G76" s="2">
        <v>0</v>
      </c>
      <c r="H76" s="2">
        <v>5</v>
      </c>
      <c r="I76" s="2">
        <v>72</v>
      </c>
      <c r="J76" s="2">
        <v>-47</v>
      </c>
      <c r="K76" s="2">
        <v>-30</v>
      </c>
      <c r="L76" s="2">
        <v>53</v>
      </c>
      <c r="M76" s="2">
        <v>21</v>
      </c>
      <c r="N76" s="2">
        <v>-220</v>
      </c>
      <c r="O76" s="2">
        <v>-167</v>
      </c>
      <c r="P76" s="2">
        <v>-153</v>
      </c>
      <c r="Q76" s="2">
        <v>-112</v>
      </c>
      <c r="R76" s="2">
        <v>-36</v>
      </c>
      <c r="S76" s="2">
        <v>-99</v>
      </c>
      <c r="T76" s="2">
        <v>-140</v>
      </c>
      <c r="U76" s="2">
        <v>-117</v>
      </c>
      <c r="V76" s="2">
        <v>89</v>
      </c>
      <c r="W76" s="2">
        <v>49</v>
      </c>
      <c r="X76" s="2">
        <v>139</v>
      </c>
      <c r="Y76" s="2">
        <v>111</v>
      </c>
      <c r="Z76" s="2">
        <v>3</v>
      </c>
      <c r="AA76" s="9">
        <v>-3</v>
      </c>
      <c r="AB76" s="9">
        <v>-3</v>
      </c>
      <c r="AC76" s="9">
        <v>34</v>
      </c>
      <c r="AD76" s="2">
        <v>-3</v>
      </c>
      <c r="AE76" s="2">
        <v>82</v>
      </c>
      <c r="AF76" s="2">
        <v>-51</v>
      </c>
      <c r="AG76" s="2">
        <v>41</v>
      </c>
      <c r="AH76" s="2">
        <v>-83</v>
      </c>
      <c r="AI76" s="2">
        <v>-88</v>
      </c>
      <c r="AJ76" s="2">
        <v>4</v>
      </c>
      <c r="AK76" s="2">
        <v>-30</v>
      </c>
      <c r="AL76" s="2">
        <v>17</v>
      </c>
      <c r="AM76" s="2">
        <v>-49</v>
      </c>
      <c r="AN76" s="2">
        <v>34</v>
      </c>
      <c r="AO76" s="2">
        <v>-28</v>
      </c>
      <c r="AP76" s="2">
        <v>-37</v>
      </c>
      <c r="AQ76" s="2">
        <v>-29</v>
      </c>
      <c r="AR76" s="2">
        <v>-28</v>
      </c>
      <c r="AS76" s="2">
        <v>-82</v>
      </c>
    </row>
    <row r="77" spans="1:45" ht="12.75">
      <c r="A77" s="240" t="s">
        <v>36</v>
      </c>
      <c r="B77" s="240"/>
      <c r="C77" s="241"/>
      <c r="E77" s="53" t="s">
        <v>462</v>
      </c>
      <c r="F77" s="2">
        <v>719</v>
      </c>
      <c r="G77" s="2">
        <v>677</v>
      </c>
      <c r="H77" s="2">
        <v>286</v>
      </c>
      <c r="I77" s="2">
        <v>528</v>
      </c>
      <c r="J77" s="2">
        <v>-741</v>
      </c>
      <c r="K77" s="2">
        <v>-66</v>
      </c>
      <c r="L77" s="2">
        <v>689</v>
      </c>
      <c r="M77" s="2">
        <v>1589</v>
      </c>
      <c r="N77" s="2">
        <v>462</v>
      </c>
      <c r="O77" s="2">
        <v>585</v>
      </c>
      <c r="P77" s="2">
        <v>-894</v>
      </c>
      <c r="Q77" s="2">
        <v>-264</v>
      </c>
      <c r="R77" s="2">
        <v>-323</v>
      </c>
      <c r="S77" s="2">
        <v>90</v>
      </c>
      <c r="T77" s="2">
        <v>-1298</v>
      </c>
      <c r="U77" s="2">
        <v>-1108</v>
      </c>
      <c r="V77" s="2">
        <v>-865</v>
      </c>
      <c r="W77" s="2">
        <v>-272</v>
      </c>
      <c r="X77" s="2">
        <v>-55</v>
      </c>
      <c r="Y77" s="2">
        <v>-223</v>
      </c>
      <c r="Z77" s="2">
        <v>-469</v>
      </c>
      <c r="AA77" s="9">
        <v>70</v>
      </c>
      <c r="AB77" s="9">
        <v>-1461</v>
      </c>
      <c r="AC77" s="9">
        <v>-1532</v>
      </c>
      <c r="AD77" s="2">
        <v>-343</v>
      </c>
      <c r="AE77" s="2">
        <v>-286</v>
      </c>
      <c r="AF77" s="2">
        <v>-1409</v>
      </c>
      <c r="AG77" s="2">
        <v>-1518</v>
      </c>
      <c r="AH77" s="2">
        <v>-213</v>
      </c>
      <c r="AI77" s="2">
        <v>724</v>
      </c>
      <c r="AJ77" s="2">
        <v>1561</v>
      </c>
      <c r="AK77" s="2">
        <v>2428</v>
      </c>
      <c r="AL77" s="2">
        <v>1152</v>
      </c>
      <c r="AM77" s="2">
        <v>-20</v>
      </c>
      <c r="AN77" s="2">
        <v>-850</v>
      </c>
      <c r="AO77" s="2">
        <v>-1454</v>
      </c>
      <c r="AP77" s="2">
        <v>-669</v>
      </c>
      <c r="AQ77" s="2">
        <v>349</v>
      </c>
      <c r="AR77" s="2">
        <v>798</v>
      </c>
      <c r="AS77" s="2">
        <v>328</v>
      </c>
    </row>
    <row r="78" spans="1:45" ht="12.75">
      <c r="A78" s="240" t="s">
        <v>36</v>
      </c>
      <c r="B78" s="240"/>
      <c r="C78" s="241"/>
      <c r="E78" s="53" t="s">
        <v>475</v>
      </c>
      <c r="F78" s="2">
        <v>0</v>
      </c>
      <c r="G78" s="2">
        <v>0</v>
      </c>
      <c r="H78" s="2">
        <v>0</v>
      </c>
      <c r="I78" s="2">
        <v>0</v>
      </c>
      <c r="J78" s="2">
        <v>0</v>
      </c>
      <c r="K78" s="2">
        <v>0</v>
      </c>
      <c r="L78" s="2">
        <v>0</v>
      </c>
      <c r="M78" s="2">
        <v>0</v>
      </c>
      <c r="N78" s="2">
        <v>0</v>
      </c>
      <c r="O78" s="2">
        <v>0</v>
      </c>
      <c r="P78" s="2" t="s">
        <v>30</v>
      </c>
      <c r="Q78" s="2" t="s">
        <v>30</v>
      </c>
      <c r="R78" s="2">
        <v>-18</v>
      </c>
      <c r="S78" s="2">
        <v>-5</v>
      </c>
      <c r="T78" s="2">
        <v>-63</v>
      </c>
      <c r="U78" s="2">
        <v>-30</v>
      </c>
      <c r="V78" s="2">
        <v>-62</v>
      </c>
      <c r="W78" s="2">
        <v>-42</v>
      </c>
      <c r="X78" s="2">
        <v>-98</v>
      </c>
      <c r="Y78" s="2">
        <v>-104</v>
      </c>
      <c r="Z78" s="2">
        <v>2</v>
      </c>
      <c r="AA78" s="9">
        <v>1</v>
      </c>
      <c r="AB78" s="9">
        <v>3</v>
      </c>
      <c r="AC78" s="9">
        <v>-2</v>
      </c>
      <c r="AD78" s="2">
        <v>8</v>
      </c>
      <c r="AE78" s="2">
        <v>-9</v>
      </c>
      <c r="AF78" s="2">
        <v>33</v>
      </c>
      <c r="AG78" s="2">
        <v>29</v>
      </c>
      <c r="AH78" s="2">
        <v>27</v>
      </c>
      <c r="AI78" s="2">
        <v>19</v>
      </c>
      <c r="AJ78" s="2">
        <v>0</v>
      </c>
      <c r="AK78" s="2">
        <v>-10</v>
      </c>
      <c r="AL78" s="2">
        <v>-26</v>
      </c>
      <c r="AM78" s="2">
        <v>10</v>
      </c>
      <c r="AN78" s="2">
        <v>13</v>
      </c>
      <c r="AO78" s="2">
        <v>29</v>
      </c>
      <c r="AP78" s="2">
        <v>2</v>
      </c>
      <c r="AQ78" s="2">
        <v>-16</v>
      </c>
      <c r="AR78" s="2">
        <v>-23</v>
      </c>
      <c r="AS78" s="2">
        <v>-20</v>
      </c>
    </row>
    <row r="79" spans="1:45" ht="12.75">
      <c r="A79" s="243" t="s">
        <v>37</v>
      </c>
      <c r="B79" s="240"/>
      <c r="C79" s="241"/>
      <c r="E79" s="62" t="s">
        <v>27</v>
      </c>
      <c r="F79" s="2"/>
      <c r="G79" s="2"/>
      <c r="H79" s="2"/>
      <c r="I79" s="2"/>
      <c r="J79" s="2"/>
      <c r="K79" s="2"/>
      <c r="L79" s="2"/>
      <c r="M79" s="2"/>
      <c r="N79" s="2"/>
      <c r="O79" s="2"/>
      <c r="P79" s="2"/>
      <c r="Q79" s="2"/>
      <c r="R79" s="2"/>
      <c r="S79" s="2"/>
      <c r="T79" s="2"/>
      <c r="U79" s="2"/>
      <c r="V79" s="2"/>
      <c r="W79" s="2"/>
      <c r="X79" s="2"/>
      <c r="Y79" s="2"/>
      <c r="Z79" s="2">
        <v>-466</v>
      </c>
      <c r="AA79" s="9">
        <f>SUM(AA75:AA78)</f>
        <v>54</v>
      </c>
      <c r="AB79" s="9">
        <f>SUM(AB75:AB78)</f>
        <v>-1470</v>
      </c>
      <c r="AC79" s="9">
        <f>SUM(AC75:AC78)</f>
        <v>-1477</v>
      </c>
      <c r="AD79" s="2">
        <v>-353</v>
      </c>
      <c r="AE79" s="2">
        <v>-227</v>
      </c>
      <c r="AF79" s="2">
        <v>-1495</v>
      </c>
      <c r="AG79" s="2">
        <v>-1517</v>
      </c>
      <c r="AH79" s="2">
        <v>-274</v>
      </c>
      <c r="AI79" s="14">
        <v>678</v>
      </c>
      <c r="AJ79" s="14">
        <v>1584</v>
      </c>
      <c r="AK79" s="14">
        <v>2407</v>
      </c>
      <c r="AL79" s="14">
        <v>1153</v>
      </c>
      <c r="AM79" s="14">
        <v>-54</v>
      </c>
      <c r="AN79" s="14">
        <v>-822</v>
      </c>
      <c r="AO79" s="14">
        <v>-1492</v>
      </c>
      <c r="AP79" s="14">
        <v>-724</v>
      </c>
      <c r="AQ79" s="14">
        <v>280</v>
      </c>
      <c r="AR79" s="14">
        <v>729</v>
      </c>
      <c r="AS79" s="14">
        <v>269</v>
      </c>
    </row>
    <row r="80" spans="1:45" s="90" customFormat="1" ht="12.75">
      <c r="A80" s="243" t="s">
        <v>37</v>
      </c>
      <c r="B80" s="240"/>
      <c r="C80" s="244"/>
      <c r="E80" s="62" t="s">
        <v>457</v>
      </c>
      <c r="F80" s="14">
        <v>758</v>
      </c>
      <c r="G80" s="14">
        <v>715</v>
      </c>
      <c r="H80" s="14">
        <v>299</v>
      </c>
      <c r="I80" s="14">
        <v>848</v>
      </c>
      <c r="J80" s="14">
        <v>-1112</v>
      </c>
      <c r="K80" s="14">
        <v>-453</v>
      </c>
      <c r="L80" s="14">
        <v>350</v>
      </c>
      <c r="M80" s="14">
        <v>1207</v>
      </c>
      <c r="N80" s="14">
        <v>226</v>
      </c>
      <c r="O80" s="14">
        <v>492</v>
      </c>
      <c r="P80" s="14">
        <v>-918</v>
      </c>
      <c r="Q80" s="14">
        <v>-238</v>
      </c>
      <c r="R80" s="14">
        <v>-349</v>
      </c>
      <c r="S80" s="14">
        <v>15</v>
      </c>
      <c r="T80" s="14">
        <v>-1361</v>
      </c>
      <c r="U80" s="14">
        <v>-1178</v>
      </c>
      <c r="V80" s="14">
        <v>-896</v>
      </c>
      <c r="W80" s="14">
        <v>-317</v>
      </c>
      <c r="X80" s="14">
        <v>-92</v>
      </c>
      <c r="Y80" s="14">
        <v>-307</v>
      </c>
      <c r="Z80" s="14">
        <v>362</v>
      </c>
      <c r="AA80" s="14">
        <v>66</v>
      </c>
      <c r="AB80" s="14">
        <v>-1673</v>
      </c>
      <c r="AC80" s="14">
        <v>-2343</v>
      </c>
      <c r="AD80" s="14">
        <v>195</v>
      </c>
      <c r="AE80" s="14">
        <v>1016</v>
      </c>
      <c r="AF80" s="14">
        <v>-302</v>
      </c>
      <c r="AG80" s="14">
        <v>-302</v>
      </c>
      <c r="AH80" s="14">
        <v>-520</v>
      </c>
      <c r="AI80" s="14">
        <v>322</v>
      </c>
      <c r="AJ80" s="14">
        <v>1505</v>
      </c>
      <c r="AK80" s="14">
        <v>1681</v>
      </c>
      <c r="AL80" s="14">
        <v>537</v>
      </c>
      <c r="AM80" s="14">
        <v>485</v>
      </c>
      <c r="AN80" s="14">
        <v>-758</v>
      </c>
      <c r="AO80" s="14">
        <v>-1263</v>
      </c>
      <c r="AP80" s="14">
        <v>-1857</v>
      </c>
      <c r="AQ80" s="14">
        <v>-1138</v>
      </c>
      <c r="AR80" s="14">
        <v>-611</v>
      </c>
      <c r="AS80" s="14">
        <v>77</v>
      </c>
    </row>
    <row r="81" spans="1:45" s="90" customFormat="1" ht="12.75">
      <c r="A81" s="243" t="s">
        <v>37</v>
      </c>
      <c r="B81" s="240"/>
      <c r="C81" s="244"/>
      <c r="E81" s="62" t="s">
        <v>23</v>
      </c>
      <c r="F81" s="14">
        <v>1250</v>
      </c>
      <c r="G81" s="14">
        <v>1752</v>
      </c>
      <c r="H81" s="14">
        <v>2098</v>
      </c>
      <c r="I81" s="14">
        <v>3773</v>
      </c>
      <c r="J81" s="14">
        <v>-1218</v>
      </c>
      <c r="K81" s="14">
        <v>-460</v>
      </c>
      <c r="L81" s="14">
        <v>1190</v>
      </c>
      <c r="M81" s="14">
        <v>1573</v>
      </c>
      <c r="N81" s="14">
        <v>-120</v>
      </c>
      <c r="O81" s="14">
        <v>804</v>
      </c>
      <c r="P81" s="14">
        <v>1025</v>
      </c>
      <c r="Q81" s="14">
        <v>2369</v>
      </c>
      <c r="R81" s="14">
        <v>562</v>
      </c>
      <c r="S81" s="14">
        <v>1954</v>
      </c>
      <c r="T81" s="14">
        <v>1959</v>
      </c>
      <c r="U81" s="14">
        <v>2819</v>
      </c>
      <c r="V81" s="14">
        <v>-439</v>
      </c>
      <c r="W81" s="14">
        <v>701</v>
      </c>
      <c r="X81" s="14">
        <v>1751</v>
      </c>
      <c r="Y81" s="14">
        <v>1757</v>
      </c>
      <c r="Z81" s="14">
        <v>861</v>
      </c>
      <c r="AA81" s="14">
        <v>1266</v>
      </c>
      <c r="AB81" s="14">
        <v>450</v>
      </c>
      <c r="AC81" s="14">
        <v>22</v>
      </c>
      <c r="AD81" s="14">
        <v>556</v>
      </c>
      <c r="AE81" s="14">
        <v>2019</v>
      </c>
      <c r="AF81" s="14">
        <v>1357</v>
      </c>
      <c r="AG81" s="14">
        <v>370</v>
      </c>
      <c r="AH81" s="14">
        <v>-89</v>
      </c>
      <c r="AI81" s="14">
        <v>661</v>
      </c>
      <c r="AJ81" s="14">
        <v>2777</v>
      </c>
      <c r="AK81" s="14">
        <v>3923</v>
      </c>
      <c r="AL81" s="14">
        <v>876</v>
      </c>
      <c r="AM81" s="14">
        <v>1432</v>
      </c>
      <c r="AN81" s="14">
        <v>1203</v>
      </c>
      <c r="AO81" s="14">
        <v>305</v>
      </c>
      <c r="AP81" s="14">
        <v>-982</v>
      </c>
      <c r="AQ81" s="14">
        <v>816</v>
      </c>
      <c r="AR81" s="14">
        <v>2610</v>
      </c>
      <c r="AS81" s="14">
        <v>4570</v>
      </c>
    </row>
    <row r="82" spans="1:45" ht="12.75">
      <c r="A82" s="240" t="s">
        <v>38</v>
      </c>
      <c r="B82" s="240"/>
      <c r="C82" s="241"/>
      <c r="E82" s="77"/>
      <c r="F82" s="1"/>
      <c r="G82" s="1"/>
      <c r="H82" s="1"/>
      <c r="I82" s="1"/>
      <c r="J82" s="1"/>
      <c r="K82" s="1"/>
      <c r="L82" s="1"/>
      <c r="M82" s="1"/>
      <c r="N82" s="1"/>
      <c r="O82" s="1"/>
      <c r="P82" s="1"/>
      <c r="Q82" s="1"/>
      <c r="R82" s="1"/>
      <c r="S82" s="1"/>
      <c r="T82" s="1"/>
      <c r="U82" s="1"/>
      <c r="V82" s="1"/>
      <c r="W82" s="1"/>
      <c r="X82" s="1"/>
      <c r="Y82" s="1"/>
      <c r="Z82" s="1"/>
      <c r="AA82" s="9"/>
      <c r="AB82" s="9"/>
      <c r="AC82" s="9"/>
      <c r="AD82" s="1"/>
      <c r="AE82" s="1"/>
      <c r="AF82" s="1"/>
      <c r="AG82" s="1"/>
      <c r="AH82" s="1"/>
      <c r="AI82" s="1"/>
      <c r="AJ82" s="1"/>
      <c r="AK82" s="1"/>
      <c r="AL82" s="1"/>
      <c r="AM82" s="1"/>
      <c r="AN82" s="1"/>
      <c r="AO82" s="1"/>
      <c r="AP82" s="1"/>
      <c r="AQ82" s="1"/>
      <c r="AR82" s="1"/>
      <c r="AS82" s="1"/>
    </row>
    <row r="83" spans="1:45" s="33" customFormat="1" ht="12.75">
      <c r="A83" s="238" t="s">
        <v>571</v>
      </c>
      <c r="B83" s="238"/>
      <c r="C83" s="239"/>
      <c r="E83" s="80" t="s">
        <v>24</v>
      </c>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47"/>
      <c r="AH83" s="247"/>
      <c r="AI83" s="247"/>
      <c r="AJ83" s="247"/>
      <c r="AK83" s="247"/>
      <c r="AL83" s="247"/>
      <c r="AM83" s="247"/>
      <c r="AN83" s="247"/>
      <c r="AO83" s="247"/>
      <c r="AP83" s="247"/>
      <c r="AQ83" s="247"/>
      <c r="AR83" s="247"/>
      <c r="AS83" s="247"/>
    </row>
    <row r="84" spans="1:45" ht="12.75">
      <c r="A84" s="240" t="s">
        <v>36</v>
      </c>
      <c r="B84" s="240"/>
      <c r="C84" s="241"/>
      <c r="E84" s="29" t="s">
        <v>25</v>
      </c>
      <c r="F84" s="2">
        <v>492</v>
      </c>
      <c r="G84" s="2">
        <v>1037</v>
      </c>
      <c r="H84" s="2">
        <v>1799</v>
      </c>
      <c r="I84" s="2">
        <v>2925</v>
      </c>
      <c r="J84" s="2">
        <v>-106</v>
      </c>
      <c r="K84" s="2">
        <v>-7</v>
      </c>
      <c r="L84" s="2">
        <v>840</v>
      </c>
      <c r="M84" s="2">
        <v>366</v>
      </c>
      <c r="N84" s="2">
        <v>-346</v>
      </c>
      <c r="O84" s="2">
        <v>312</v>
      </c>
      <c r="P84" s="2">
        <v>1943</v>
      </c>
      <c r="Q84" s="2">
        <v>2607</v>
      </c>
      <c r="R84" s="2">
        <v>911</v>
      </c>
      <c r="S84" s="2">
        <v>1939</v>
      </c>
      <c r="T84" s="2">
        <v>3320</v>
      </c>
      <c r="U84" s="2">
        <v>3997</v>
      </c>
      <c r="V84" s="2">
        <v>457</v>
      </c>
      <c r="W84" s="2">
        <v>1018</v>
      </c>
      <c r="X84" s="2">
        <v>1844</v>
      </c>
      <c r="Y84" s="2">
        <v>2064</v>
      </c>
      <c r="Z84" s="2">
        <v>501</v>
      </c>
      <c r="AA84" s="9">
        <v>1200</v>
      </c>
      <c r="AB84" s="9">
        <v>2121</v>
      </c>
      <c r="AC84" s="9">
        <v>2362</v>
      </c>
      <c r="AD84" s="2">
        <v>361</v>
      </c>
      <c r="AE84" s="2">
        <v>1003</v>
      </c>
      <c r="AF84" s="2">
        <v>1658</v>
      </c>
      <c r="AG84" s="2">
        <v>671</v>
      </c>
      <c r="AH84" s="2">
        <v>431</v>
      </c>
      <c r="AI84" s="2">
        <v>339</v>
      </c>
      <c r="AJ84" s="2">
        <v>1272</v>
      </c>
      <c r="AK84" s="2">
        <v>2241</v>
      </c>
      <c r="AL84" s="9">
        <v>339</v>
      </c>
      <c r="AM84" s="9">
        <v>947</v>
      </c>
      <c r="AN84" s="9">
        <v>1960</v>
      </c>
      <c r="AO84" s="9">
        <v>1566</v>
      </c>
      <c r="AP84" s="9">
        <v>875</v>
      </c>
      <c r="AQ84" s="9">
        <v>1954</v>
      </c>
      <c r="AR84" s="9">
        <v>3221</v>
      </c>
      <c r="AS84" s="9">
        <v>4494</v>
      </c>
    </row>
    <row r="85" spans="1:45" ht="12.75">
      <c r="A85" s="240" t="s">
        <v>36</v>
      </c>
      <c r="B85" s="240"/>
      <c r="C85" s="241"/>
      <c r="E85" s="53" t="s">
        <v>473</v>
      </c>
      <c r="F85" s="2" t="s">
        <v>30</v>
      </c>
      <c r="G85" s="2" t="s">
        <v>30</v>
      </c>
      <c r="H85" s="2" t="s">
        <v>30</v>
      </c>
      <c r="I85" s="2" t="s">
        <v>30</v>
      </c>
      <c r="J85" s="2" t="s">
        <v>30</v>
      </c>
      <c r="K85" s="2" t="s">
        <v>30</v>
      </c>
      <c r="L85" s="2" t="s">
        <v>30</v>
      </c>
      <c r="M85" s="2" t="s">
        <v>30</v>
      </c>
      <c r="N85" s="2" t="s">
        <v>30</v>
      </c>
      <c r="O85" s="2" t="s">
        <v>30</v>
      </c>
      <c r="P85" s="2" t="s">
        <v>30</v>
      </c>
      <c r="Q85" s="2" t="s">
        <v>30</v>
      </c>
      <c r="R85" s="2" t="s">
        <v>30</v>
      </c>
      <c r="S85" s="2" t="s">
        <v>30</v>
      </c>
      <c r="T85" s="2" t="s">
        <v>30</v>
      </c>
      <c r="U85" s="2" t="s">
        <v>30</v>
      </c>
      <c r="V85" s="2" t="s">
        <v>30</v>
      </c>
      <c r="W85" s="2" t="s">
        <v>30</v>
      </c>
      <c r="X85" s="2">
        <v>-1</v>
      </c>
      <c r="Y85" s="2">
        <v>0</v>
      </c>
      <c r="Z85" s="2">
        <v>-2</v>
      </c>
      <c r="AA85" s="9">
        <v>0</v>
      </c>
      <c r="AB85" s="9">
        <v>2</v>
      </c>
      <c r="AC85" s="9">
        <v>3</v>
      </c>
      <c r="AD85" s="2">
        <v>0</v>
      </c>
      <c r="AE85" s="2">
        <v>0</v>
      </c>
      <c r="AF85" s="2">
        <v>1</v>
      </c>
      <c r="AG85" s="2">
        <v>1</v>
      </c>
      <c r="AH85" s="2">
        <v>0</v>
      </c>
      <c r="AI85" s="2">
        <v>0</v>
      </c>
      <c r="AJ85" s="2">
        <v>0</v>
      </c>
      <c r="AK85" s="2">
        <v>1</v>
      </c>
      <c r="AL85" s="2">
        <v>0</v>
      </c>
      <c r="AM85" s="2">
        <v>1</v>
      </c>
      <c r="AN85" s="2">
        <v>1</v>
      </c>
      <c r="AO85" s="2">
        <v>2</v>
      </c>
      <c r="AP85" s="2">
        <v>0</v>
      </c>
      <c r="AQ85" s="2">
        <v>0</v>
      </c>
      <c r="AR85" s="2">
        <v>0</v>
      </c>
      <c r="AS85" s="2">
        <v>-1</v>
      </c>
    </row>
    <row r="86" spans="1:45" s="90" customFormat="1" ht="12.75">
      <c r="A86" s="243" t="s">
        <v>37</v>
      </c>
      <c r="B86" s="240"/>
      <c r="C86" s="244"/>
      <c r="E86" s="62" t="s">
        <v>27</v>
      </c>
      <c r="F86" s="14">
        <v>492</v>
      </c>
      <c r="G86" s="14">
        <v>1037</v>
      </c>
      <c r="H86" s="14">
        <v>1799</v>
      </c>
      <c r="I86" s="14">
        <v>2925</v>
      </c>
      <c r="J86" s="14">
        <v>-106</v>
      </c>
      <c r="K86" s="14">
        <v>-7</v>
      </c>
      <c r="L86" s="14">
        <v>840</v>
      </c>
      <c r="M86" s="14">
        <v>366</v>
      </c>
      <c r="N86" s="14">
        <v>-346</v>
      </c>
      <c r="O86" s="14">
        <v>312</v>
      </c>
      <c r="P86" s="14">
        <v>1943</v>
      </c>
      <c r="Q86" s="14">
        <v>2607</v>
      </c>
      <c r="R86" s="14">
        <v>911</v>
      </c>
      <c r="S86" s="14">
        <v>1939</v>
      </c>
      <c r="T86" s="14">
        <v>3320</v>
      </c>
      <c r="U86" s="14">
        <v>3997</v>
      </c>
      <c r="V86" s="14">
        <v>457</v>
      </c>
      <c r="W86" s="14">
        <v>1018</v>
      </c>
      <c r="X86" s="14">
        <v>1843</v>
      </c>
      <c r="Y86" s="14">
        <v>2064</v>
      </c>
      <c r="Z86" s="14">
        <v>499</v>
      </c>
      <c r="AA86" s="14">
        <v>1200</v>
      </c>
      <c r="AB86" s="14">
        <v>2123</v>
      </c>
      <c r="AC86" s="14">
        <v>2365</v>
      </c>
      <c r="AD86" s="14">
        <v>361</v>
      </c>
      <c r="AE86" s="14">
        <v>1003</v>
      </c>
      <c r="AF86" s="14">
        <v>1659</v>
      </c>
      <c r="AG86" s="14">
        <v>672</v>
      </c>
      <c r="AH86" s="14">
        <v>431</v>
      </c>
      <c r="AI86" s="14">
        <v>339</v>
      </c>
      <c r="AJ86" s="14">
        <v>1272</v>
      </c>
      <c r="AK86" s="14">
        <v>2242</v>
      </c>
      <c r="AL86" s="14">
        <v>339</v>
      </c>
      <c r="AM86" s="14">
        <v>948</v>
      </c>
      <c r="AN86" s="14">
        <v>1961</v>
      </c>
      <c r="AO86" s="14">
        <v>1568</v>
      </c>
      <c r="AP86" s="14">
        <v>875</v>
      </c>
      <c r="AQ86" s="14">
        <v>1954</v>
      </c>
      <c r="AR86" s="14">
        <v>3221</v>
      </c>
      <c r="AS86" s="14">
        <v>4493</v>
      </c>
    </row>
    <row r="87" spans="1:45" ht="12.75">
      <c r="A87" s="240" t="s">
        <v>38</v>
      </c>
      <c r="B87" s="240"/>
      <c r="C87" s="241"/>
      <c r="E87" s="29"/>
      <c r="F87" s="2"/>
      <c r="G87" s="2"/>
      <c r="H87" s="2"/>
      <c r="I87" s="2"/>
      <c r="J87" s="2"/>
      <c r="K87" s="2"/>
      <c r="L87" s="2"/>
      <c r="M87" s="2"/>
      <c r="N87" s="2"/>
      <c r="O87" s="2"/>
      <c r="P87" s="2"/>
      <c r="Q87" s="2"/>
      <c r="R87" s="2"/>
      <c r="S87" s="2"/>
      <c r="T87" s="2"/>
      <c r="U87" s="2"/>
      <c r="V87" s="2"/>
      <c r="W87" s="2"/>
      <c r="X87" s="2"/>
      <c r="Y87" s="2"/>
      <c r="Z87" s="2"/>
      <c r="AA87" s="9"/>
      <c r="AB87" s="9"/>
      <c r="AC87" s="9"/>
      <c r="AD87" s="2"/>
      <c r="AE87" s="2"/>
      <c r="AF87" s="2"/>
      <c r="AG87" s="1"/>
      <c r="AH87" s="1"/>
      <c r="AI87" s="1"/>
      <c r="AJ87" s="1"/>
      <c r="AK87" s="1"/>
      <c r="AL87" s="14"/>
      <c r="AM87" s="14"/>
      <c r="AN87" s="14"/>
      <c r="AO87" s="14"/>
      <c r="AP87" s="14"/>
      <c r="AQ87" s="14"/>
      <c r="AR87" s="14"/>
      <c r="AS87" s="14"/>
    </row>
    <row r="88" spans="1:45" s="33" customFormat="1" ht="12.75">
      <c r="A88" s="238" t="s">
        <v>571</v>
      </c>
      <c r="B88" s="238"/>
      <c r="C88" s="239"/>
      <c r="E88" s="80" t="s">
        <v>28</v>
      </c>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47"/>
      <c r="AM88" s="247"/>
      <c r="AN88" s="247"/>
      <c r="AO88" s="247"/>
      <c r="AP88" s="247"/>
      <c r="AQ88" s="247"/>
      <c r="AR88" s="247"/>
      <c r="AS88" s="247"/>
    </row>
    <row r="89" spans="1:45" ht="12.75">
      <c r="A89" s="240" t="s">
        <v>36</v>
      </c>
      <c r="B89" s="240"/>
      <c r="C89" s="241"/>
      <c r="E89" s="29" t="s">
        <v>25</v>
      </c>
      <c r="F89" s="2">
        <v>1250</v>
      </c>
      <c r="G89" s="2">
        <v>1752</v>
      </c>
      <c r="H89" s="2">
        <v>2098</v>
      </c>
      <c r="I89" s="2">
        <v>3773</v>
      </c>
      <c r="J89" s="2">
        <v>-1218</v>
      </c>
      <c r="K89" s="2">
        <v>-460</v>
      </c>
      <c r="L89" s="2">
        <v>840</v>
      </c>
      <c r="M89" s="2">
        <v>1573</v>
      </c>
      <c r="N89" s="2">
        <v>-120</v>
      </c>
      <c r="O89" s="2">
        <v>804</v>
      </c>
      <c r="P89" s="2">
        <v>1025</v>
      </c>
      <c r="Q89" s="2">
        <v>2369</v>
      </c>
      <c r="R89" s="2">
        <v>562</v>
      </c>
      <c r="S89" s="2">
        <v>1954</v>
      </c>
      <c r="T89" s="2">
        <v>1959</v>
      </c>
      <c r="U89" s="2">
        <v>2819</v>
      </c>
      <c r="V89" s="2">
        <v>-439</v>
      </c>
      <c r="W89" s="2">
        <v>701</v>
      </c>
      <c r="X89" s="2">
        <v>1747</v>
      </c>
      <c r="Y89" s="2">
        <v>1752</v>
      </c>
      <c r="Z89" s="2">
        <v>867</v>
      </c>
      <c r="AA89" s="9">
        <v>1264</v>
      </c>
      <c r="AB89" s="9">
        <v>453</v>
      </c>
      <c r="AC89" s="9">
        <v>26</v>
      </c>
      <c r="AD89" s="2">
        <v>556</v>
      </c>
      <c r="AE89" s="2">
        <v>2019</v>
      </c>
      <c r="AF89" s="2">
        <v>1360</v>
      </c>
      <c r="AG89" s="2">
        <v>374</v>
      </c>
      <c r="AH89" s="2">
        <v>-87</v>
      </c>
      <c r="AI89" s="2">
        <v>662</v>
      </c>
      <c r="AJ89" s="2">
        <v>2778</v>
      </c>
      <c r="AK89" s="2">
        <v>3922</v>
      </c>
      <c r="AL89" s="2">
        <v>874</v>
      </c>
      <c r="AM89" s="2">
        <v>1431</v>
      </c>
      <c r="AN89" s="2">
        <v>1202</v>
      </c>
      <c r="AO89" s="2">
        <v>307</v>
      </c>
      <c r="AP89" s="2">
        <v>-981</v>
      </c>
      <c r="AQ89" s="2">
        <v>816</v>
      </c>
      <c r="AR89" s="2">
        <v>2610</v>
      </c>
      <c r="AS89" s="2">
        <v>4570</v>
      </c>
    </row>
    <row r="90" spans="1:45" ht="12.75">
      <c r="A90" s="240" t="s">
        <v>36</v>
      </c>
      <c r="B90" s="240"/>
      <c r="C90" s="241"/>
      <c r="E90" s="53" t="s">
        <v>473</v>
      </c>
      <c r="F90" s="2" t="s">
        <v>30</v>
      </c>
      <c r="G90" s="2" t="s">
        <v>30</v>
      </c>
      <c r="H90" s="2" t="s">
        <v>30</v>
      </c>
      <c r="I90" s="2" t="s">
        <v>30</v>
      </c>
      <c r="J90" s="2" t="s">
        <v>30</v>
      </c>
      <c r="K90" s="2" t="s">
        <v>30</v>
      </c>
      <c r="L90" s="2" t="s">
        <v>30</v>
      </c>
      <c r="M90" s="2" t="s">
        <v>30</v>
      </c>
      <c r="N90" s="2" t="s">
        <v>30</v>
      </c>
      <c r="O90" s="2" t="s">
        <v>30</v>
      </c>
      <c r="P90" s="2" t="s">
        <v>30</v>
      </c>
      <c r="Q90" s="2" t="s">
        <v>30</v>
      </c>
      <c r="R90" s="2" t="s">
        <v>30</v>
      </c>
      <c r="S90" s="2" t="s">
        <v>30</v>
      </c>
      <c r="T90" s="2" t="s">
        <v>30</v>
      </c>
      <c r="U90" s="2" t="s">
        <v>30</v>
      </c>
      <c r="V90" s="2" t="s">
        <v>30</v>
      </c>
      <c r="W90" s="2" t="s">
        <v>30</v>
      </c>
      <c r="X90" s="2">
        <v>4</v>
      </c>
      <c r="Y90" s="2">
        <v>5</v>
      </c>
      <c r="Z90" s="2">
        <v>-6</v>
      </c>
      <c r="AA90" s="9">
        <v>2</v>
      </c>
      <c r="AB90" s="9">
        <v>-3</v>
      </c>
      <c r="AC90" s="9">
        <v>-4</v>
      </c>
      <c r="AD90" s="2">
        <v>0</v>
      </c>
      <c r="AE90" s="2">
        <v>0</v>
      </c>
      <c r="AF90" s="2">
        <v>-3</v>
      </c>
      <c r="AG90" s="2">
        <v>-4</v>
      </c>
      <c r="AH90" s="2">
        <v>-2</v>
      </c>
      <c r="AI90" s="2">
        <v>-1</v>
      </c>
      <c r="AJ90" s="2">
        <v>-1</v>
      </c>
      <c r="AK90" s="2">
        <v>1</v>
      </c>
      <c r="AL90" s="2">
        <v>2</v>
      </c>
      <c r="AM90" s="2">
        <v>1</v>
      </c>
      <c r="AN90" s="2">
        <v>1</v>
      </c>
      <c r="AO90" s="2">
        <v>-2</v>
      </c>
      <c r="AP90" s="2">
        <v>-1</v>
      </c>
      <c r="AQ90" s="2">
        <v>0</v>
      </c>
      <c r="AR90" s="2">
        <v>0</v>
      </c>
      <c r="AS90" s="2">
        <v>0</v>
      </c>
    </row>
    <row r="91" spans="1:45" s="90" customFormat="1" ht="12.75">
      <c r="A91" s="243" t="s">
        <v>37</v>
      </c>
      <c r="B91" s="240"/>
      <c r="C91" s="244"/>
      <c r="E91" s="62" t="s">
        <v>27</v>
      </c>
      <c r="F91" s="14">
        <v>1250</v>
      </c>
      <c r="G91" s="14">
        <v>1752</v>
      </c>
      <c r="H91" s="14">
        <v>2098</v>
      </c>
      <c r="I91" s="14">
        <v>3773</v>
      </c>
      <c r="J91" s="14">
        <v>-1218</v>
      </c>
      <c r="K91" s="14">
        <v>-460</v>
      </c>
      <c r="L91" s="14">
        <v>840</v>
      </c>
      <c r="M91" s="14">
        <v>1573</v>
      </c>
      <c r="N91" s="14">
        <v>-120</v>
      </c>
      <c r="O91" s="14">
        <v>804</v>
      </c>
      <c r="P91" s="14">
        <v>1025</v>
      </c>
      <c r="Q91" s="14">
        <v>2369</v>
      </c>
      <c r="R91" s="14">
        <v>562</v>
      </c>
      <c r="S91" s="14">
        <v>1954</v>
      </c>
      <c r="T91" s="14">
        <v>1959</v>
      </c>
      <c r="U91" s="14">
        <v>2819</v>
      </c>
      <c r="V91" s="14">
        <v>-439</v>
      </c>
      <c r="W91" s="14">
        <v>701</v>
      </c>
      <c r="X91" s="14">
        <v>1751</v>
      </c>
      <c r="Y91" s="14">
        <v>1757</v>
      </c>
      <c r="Z91" s="14">
        <v>861</v>
      </c>
      <c r="AA91" s="14">
        <v>1266</v>
      </c>
      <c r="AB91" s="14">
        <v>450</v>
      </c>
      <c r="AC91" s="14">
        <v>22</v>
      </c>
      <c r="AD91" s="14">
        <v>556</v>
      </c>
      <c r="AE91" s="14">
        <v>2019</v>
      </c>
      <c r="AF91" s="14">
        <v>1357</v>
      </c>
      <c r="AG91" s="14">
        <v>370</v>
      </c>
      <c r="AH91" s="14">
        <v>-89</v>
      </c>
      <c r="AI91" s="14">
        <v>661</v>
      </c>
      <c r="AJ91" s="14">
        <v>2777</v>
      </c>
      <c r="AK91" s="14">
        <v>3923</v>
      </c>
      <c r="AL91" s="14">
        <v>876</v>
      </c>
      <c r="AM91" s="14">
        <v>1432</v>
      </c>
      <c r="AN91" s="14">
        <v>1203</v>
      </c>
      <c r="AO91" s="14">
        <v>305</v>
      </c>
      <c r="AP91" s="14">
        <v>-982</v>
      </c>
      <c r="AQ91" s="14">
        <v>816</v>
      </c>
      <c r="AR91" s="14">
        <v>2610</v>
      </c>
      <c r="AS91" s="14">
        <v>4570</v>
      </c>
    </row>
    <row r="92" spans="1:45" ht="12.75">
      <c r="A92" s="240" t="s">
        <v>38</v>
      </c>
      <c r="B92" s="240"/>
      <c r="C92" s="241"/>
      <c r="E92" s="29"/>
      <c r="F92" s="2"/>
      <c r="G92" s="2"/>
      <c r="H92" s="2"/>
      <c r="I92" s="2"/>
      <c r="J92" s="2"/>
      <c r="K92" s="2"/>
      <c r="L92" s="2"/>
      <c r="M92" s="2"/>
      <c r="N92" s="2"/>
      <c r="O92" s="2"/>
      <c r="P92" s="2"/>
      <c r="Q92" s="2"/>
      <c r="R92" s="2"/>
      <c r="S92" s="2"/>
      <c r="T92" s="2"/>
      <c r="U92" s="2"/>
      <c r="V92" s="2"/>
      <c r="W92" s="2"/>
      <c r="X92" s="2"/>
      <c r="Y92" s="2"/>
      <c r="Z92" s="2"/>
      <c r="AA92" s="11"/>
      <c r="AB92" s="11"/>
      <c r="AC92" s="11"/>
      <c r="AD92" s="2"/>
      <c r="AE92" s="2"/>
      <c r="AF92" s="2"/>
      <c r="AG92" s="1"/>
      <c r="AH92" s="1"/>
      <c r="AI92" s="1"/>
      <c r="AJ92" s="1"/>
      <c r="AK92" s="1"/>
      <c r="AL92" s="14"/>
      <c r="AM92" s="14"/>
      <c r="AN92" s="14"/>
      <c r="AO92" s="14"/>
      <c r="AP92" s="14"/>
      <c r="AQ92" s="14"/>
      <c r="AR92" s="14"/>
      <c r="AS92" s="14"/>
    </row>
    <row r="93" spans="1:45" ht="12.75">
      <c r="A93" s="240" t="s">
        <v>36</v>
      </c>
      <c r="B93" s="240"/>
      <c r="C93" s="241" t="s">
        <v>533</v>
      </c>
      <c r="E93" s="53" t="s">
        <v>536</v>
      </c>
      <c r="F93" s="4">
        <v>1.76</v>
      </c>
      <c r="G93" s="4">
        <v>3.7</v>
      </c>
      <c r="H93" s="4">
        <v>6.41</v>
      </c>
      <c r="I93" s="4">
        <v>10.41</v>
      </c>
      <c r="J93" s="4">
        <v>-0.38</v>
      </c>
      <c r="K93" s="4">
        <v>-0.02</v>
      </c>
      <c r="L93" s="4">
        <v>2.97</v>
      </c>
      <c r="M93" s="4">
        <v>1.29</v>
      </c>
      <c r="N93" s="4">
        <v>-1.22</v>
      </c>
      <c r="O93" s="4">
        <v>1.1</v>
      </c>
      <c r="P93" s="4">
        <v>6.84</v>
      </c>
      <c r="Q93" s="4">
        <v>9.18</v>
      </c>
      <c r="R93" s="4">
        <v>3.2</v>
      </c>
      <c r="S93" s="4">
        <v>6.81</v>
      </c>
      <c r="T93" s="4">
        <v>11.66</v>
      </c>
      <c r="U93" s="4">
        <v>14.04</v>
      </c>
      <c r="V93" s="4">
        <v>1.61</v>
      </c>
      <c r="W93" s="4">
        <v>3.58</v>
      </c>
      <c r="X93" s="4">
        <v>6.48</v>
      </c>
      <c r="Y93" s="4">
        <v>7.25</v>
      </c>
      <c r="Z93" s="4">
        <v>1.76</v>
      </c>
      <c r="AA93" s="11">
        <v>4.2</v>
      </c>
      <c r="AB93" s="11">
        <v>7.42</v>
      </c>
      <c r="AC93" s="11">
        <v>8.26</v>
      </c>
      <c r="AD93" s="4">
        <v>1.26</v>
      </c>
      <c r="AE93" s="4">
        <v>3.5</v>
      </c>
      <c r="AF93" s="4">
        <v>5.79</v>
      </c>
      <c r="AG93" s="7">
        <v>2.35</v>
      </c>
      <c r="AH93" s="7">
        <v>1.5</v>
      </c>
      <c r="AI93" s="7">
        <v>1.18</v>
      </c>
      <c r="AJ93" s="7">
        <v>4.44</v>
      </c>
      <c r="AK93" s="7">
        <v>7.83</v>
      </c>
      <c r="AL93" s="170">
        <v>1.18</v>
      </c>
      <c r="AM93" s="170">
        <v>3.3</v>
      </c>
      <c r="AN93" s="170">
        <v>6.83</v>
      </c>
      <c r="AO93" s="170">
        <v>5.45</v>
      </c>
      <c r="AP93" s="170">
        <v>3.04</v>
      </c>
      <c r="AQ93" s="170">
        <v>6.8</v>
      </c>
      <c r="AR93" s="170">
        <v>11.21</v>
      </c>
      <c r="AS93" s="170">
        <v>15.64</v>
      </c>
    </row>
    <row r="94" spans="1:45" ht="12.75">
      <c r="A94" s="240" t="s">
        <v>36</v>
      </c>
      <c r="B94" s="240"/>
      <c r="C94" s="241" t="s">
        <v>533</v>
      </c>
      <c r="E94" s="53" t="s">
        <v>539</v>
      </c>
      <c r="F94" s="4">
        <v>1.76</v>
      </c>
      <c r="G94" s="4">
        <v>3.69</v>
      </c>
      <c r="H94" s="4">
        <v>6.36</v>
      </c>
      <c r="I94" s="4">
        <v>10.33</v>
      </c>
      <c r="J94" s="4">
        <v>-0.38</v>
      </c>
      <c r="K94" s="4">
        <v>-0.02</v>
      </c>
      <c r="L94" s="4">
        <v>2.97</v>
      </c>
      <c r="M94" s="4">
        <v>1.29</v>
      </c>
      <c r="N94" s="4">
        <v>-1.22</v>
      </c>
      <c r="O94" s="4">
        <v>1.1</v>
      </c>
      <c r="P94" s="4">
        <v>6.83</v>
      </c>
      <c r="Q94" s="4">
        <v>9.16</v>
      </c>
      <c r="R94" s="4">
        <v>3.19</v>
      </c>
      <c r="S94" s="4">
        <v>6.79</v>
      </c>
      <c r="T94" s="4">
        <v>11.61</v>
      </c>
      <c r="U94" s="4">
        <v>13.97</v>
      </c>
      <c r="V94" s="4">
        <v>1.6</v>
      </c>
      <c r="W94" s="4">
        <v>3.56</v>
      </c>
      <c r="X94" s="4">
        <v>6.44</v>
      </c>
      <c r="Y94" s="4">
        <v>7.21</v>
      </c>
      <c r="Z94" s="4">
        <v>1.75</v>
      </c>
      <c r="AA94" s="11">
        <v>4.19</v>
      </c>
      <c r="AB94" s="11">
        <v>7.41</v>
      </c>
      <c r="AC94" s="11">
        <v>8.24</v>
      </c>
      <c r="AD94" s="4">
        <v>1.26</v>
      </c>
      <c r="AE94" s="4">
        <v>3.49</v>
      </c>
      <c r="AF94" s="4">
        <v>5.77</v>
      </c>
      <c r="AG94" s="4">
        <v>2.34</v>
      </c>
      <c r="AH94" s="4">
        <v>1.5</v>
      </c>
      <c r="AI94" s="4">
        <v>1.18</v>
      </c>
      <c r="AJ94" s="4">
        <v>4.42</v>
      </c>
      <c r="AK94" s="4">
        <v>7.78</v>
      </c>
      <c r="AL94" s="7">
        <v>1.17</v>
      </c>
      <c r="AM94" s="7">
        <v>3.28</v>
      </c>
      <c r="AN94" s="7">
        <v>6.79</v>
      </c>
      <c r="AO94" s="7">
        <v>5.42</v>
      </c>
      <c r="AP94" s="7">
        <v>3.03</v>
      </c>
      <c r="AQ94" s="7">
        <v>6.76</v>
      </c>
      <c r="AR94" s="7">
        <v>11.15</v>
      </c>
      <c r="AS94" s="7">
        <v>15.55</v>
      </c>
    </row>
    <row r="95" spans="1:45" ht="12.75">
      <c r="A95" s="240" t="s">
        <v>36</v>
      </c>
      <c r="B95" s="240"/>
      <c r="C95" s="241" t="s">
        <v>534</v>
      </c>
      <c r="E95" s="53" t="s">
        <v>537</v>
      </c>
      <c r="F95" s="5">
        <v>281.4</v>
      </c>
      <c r="G95" s="5">
        <v>281.5</v>
      </c>
      <c r="H95" s="5">
        <v>281.6</v>
      </c>
      <c r="I95" s="5">
        <v>281.6</v>
      </c>
      <c r="J95" s="5">
        <v>283.4</v>
      </c>
      <c r="K95" s="5">
        <v>283.6</v>
      </c>
      <c r="L95" s="5">
        <v>283.6</v>
      </c>
      <c r="M95" s="5">
        <v>283.6</v>
      </c>
      <c r="N95" s="5">
        <v>283.6</v>
      </c>
      <c r="O95" s="5">
        <v>284.1</v>
      </c>
      <c r="P95" s="5">
        <v>284.3</v>
      </c>
      <c r="Q95" s="5">
        <v>284.4</v>
      </c>
      <c r="R95" s="5">
        <v>284.5</v>
      </c>
      <c r="S95" s="5">
        <v>284.7</v>
      </c>
      <c r="T95" s="5">
        <v>284.7</v>
      </c>
      <c r="U95" s="5">
        <v>284.7</v>
      </c>
      <c r="V95" s="5">
        <v>284.7</v>
      </c>
      <c r="W95" s="5">
        <v>284.7</v>
      </c>
      <c r="X95" s="5">
        <v>284.7</v>
      </c>
      <c r="Y95" s="5">
        <v>284.7</v>
      </c>
      <c r="Z95" s="5">
        <v>286.1</v>
      </c>
      <c r="AA95" s="12">
        <v>286.1</v>
      </c>
      <c r="AB95" s="12">
        <v>286.1</v>
      </c>
      <c r="AC95" s="12">
        <v>286.1</v>
      </c>
      <c r="AD95" s="5">
        <v>286.2</v>
      </c>
      <c r="AE95" s="5">
        <v>286.2</v>
      </c>
      <c r="AF95" s="5">
        <v>286.2</v>
      </c>
      <c r="AG95" s="5">
        <v>286.2</v>
      </c>
      <c r="AH95" s="5">
        <v>286.2</v>
      </c>
      <c r="AI95" s="5">
        <v>286.32</v>
      </c>
      <c r="AJ95" s="5">
        <v>286.32</v>
      </c>
      <c r="AK95" s="5">
        <v>286.32</v>
      </c>
      <c r="AL95" s="5">
        <v>287.4</v>
      </c>
      <c r="AM95" s="5">
        <v>287.4</v>
      </c>
      <c r="AN95" s="5">
        <v>287.397</v>
      </c>
      <c r="AO95" s="5">
        <v>287.397</v>
      </c>
      <c r="AP95" s="5">
        <v>287.4</v>
      </c>
      <c r="AQ95" s="5">
        <v>287.4</v>
      </c>
      <c r="AR95" s="5">
        <v>287.4</v>
      </c>
      <c r="AS95" s="5">
        <v>287.4</v>
      </c>
    </row>
    <row r="96" spans="1:45" ht="12.75">
      <c r="A96" s="240" t="s">
        <v>36</v>
      </c>
      <c r="B96" s="240"/>
      <c r="C96" s="241" t="s">
        <v>534</v>
      </c>
      <c r="E96" s="53" t="s">
        <v>538</v>
      </c>
      <c r="F96" s="5">
        <v>279.7</v>
      </c>
      <c r="G96" s="5">
        <v>280.5</v>
      </c>
      <c r="H96" s="5">
        <v>280.9</v>
      </c>
      <c r="I96" s="5">
        <v>281</v>
      </c>
      <c r="J96" s="5">
        <v>282.1</v>
      </c>
      <c r="K96" s="5">
        <v>282.7</v>
      </c>
      <c r="L96" s="5">
        <v>283</v>
      </c>
      <c r="M96" s="5">
        <v>283.1</v>
      </c>
      <c r="N96" s="5">
        <v>283.6</v>
      </c>
      <c r="O96" s="5">
        <v>283.8</v>
      </c>
      <c r="P96" s="5">
        <v>283.9</v>
      </c>
      <c r="Q96" s="5">
        <v>284</v>
      </c>
      <c r="R96" s="5">
        <v>284.5</v>
      </c>
      <c r="S96" s="5">
        <v>284.5</v>
      </c>
      <c r="T96" s="5">
        <v>284.6</v>
      </c>
      <c r="U96" s="5">
        <v>284.6</v>
      </c>
      <c r="V96" s="5">
        <v>284.7</v>
      </c>
      <c r="W96" s="5">
        <v>284.7</v>
      </c>
      <c r="X96" s="5">
        <v>284.67</v>
      </c>
      <c r="Y96" s="5">
        <v>284.67</v>
      </c>
      <c r="Z96" s="5">
        <v>285.4</v>
      </c>
      <c r="AA96" s="12">
        <v>285.7</v>
      </c>
      <c r="AB96" s="12">
        <v>285.8</v>
      </c>
      <c r="AC96" s="12">
        <v>285.9</v>
      </c>
      <c r="AD96" s="5">
        <v>286.17</v>
      </c>
      <c r="AE96" s="5">
        <v>286.17</v>
      </c>
      <c r="AF96" s="5">
        <v>286.17</v>
      </c>
      <c r="AG96" s="5">
        <v>286.2</v>
      </c>
      <c r="AH96" s="5">
        <v>286.21</v>
      </c>
      <c r="AI96" s="5">
        <v>286.274</v>
      </c>
      <c r="AJ96" s="5">
        <v>286.288</v>
      </c>
      <c r="AK96" s="5">
        <v>286.295</v>
      </c>
      <c r="AL96" s="5">
        <v>286.6</v>
      </c>
      <c r="AM96" s="5">
        <v>286.9</v>
      </c>
      <c r="AN96" s="5">
        <v>287.074</v>
      </c>
      <c r="AO96" s="5">
        <v>287.148</v>
      </c>
      <c r="AP96" s="5">
        <v>287.4</v>
      </c>
      <c r="AQ96" s="5">
        <v>287.4</v>
      </c>
      <c r="AR96" s="5">
        <v>287.4</v>
      </c>
      <c r="AS96" s="5">
        <v>287.4</v>
      </c>
    </row>
    <row r="97" spans="1:45" ht="12.75">
      <c r="A97" s="240" t="s">
        <v>36</v>
      </c>
      <c r="B97" s="240"/>
      <c r="C97" s="241" t="s">
        <v>534</v>
      </c>
      <c r="E97" s="53" t="s">
        <v>539</v>
      </c>
      <c r="F97" s="5">
        <v>280.2</v>
      </c>
      <c r="G97" s="5">
        <v>281</v>
      </c>
      <c r="H97" s="5">
        <v>282.9</v>
      </c>
      <c r="I97" s="5">
        <v>283.3</v>
      </c>
      <c r="J97" s="5">
        <v>282.3</v>
      </c>
      <c r="K97" s="5">
        <v>282.9</v>
      </c>
      <c r="L97" s="5">
        <v>283.1</v>
      </c>
      <c r="M97" s="5">
        <v>283.2</v>
      </c>
      <c r="N97" s="5">
        <v>283.6</v>
      </c>
      <c r="O97" s="5">
        <v>284.2</v>
      </c>
      <c r="P97" s="5">
        <v>284.5</v>
      </c>
      <c r="Q97" s="5">
        <v>284.6</v>
      </c>
      <c r="R97" s="5">
        <v>285.4</v>
      </c>
      <c r="S97" s="5">
        <v>285.6</v>
      </c>
      <c r="T97" s="5">
        <v>285.9</v>
      </c>
      <c r="U97" s="5">
        <v>286</v>
      </c>
      <c r="V97" s="5">
        <v>286.5</v>
      </c>
      <c r="W97" s="5">
        <v>286.2</v>
      </c>
      <c r="X97" s="5">
        <v>286.17</v>
      </c>
      <c r="Y97" s="5">
        <v>286.1</v>
      </c>
      <c r="Z97" s="5">
        <v>286.4</v>
      </c>
      <c r="AA97" s="40">
        <v>286.3</v>
      </c>
      <c r="AB97" s="40">
        <v>286.5</v>
      </c>
      <c r="AC97" s="40">
        <v>286.6</v>
      </c>
      <c r="AD97" s="5">
        <v>287</v>
      </c>
      <c r="AE97" s="5">
        <v>287</v>
      </c>
      <c r="AF97" s="5">
        <v>287</v>
      </c>
      <c r="AG97" s="5">
        <v>287.3</v>
      </c>
      <c r="AH97" s="5">
        <v>287.68</v>
      </c>
      <c r="AI97" s="5">
        <v>287.82</v>
      </c>
      <c r="AJ97" s="5">
        <v>288.057</v>
      </c>
      <c r="AK97" s="5">
        <v>288.211</v>
      </c>
      <c r="AL97" s="5">
        <v>288.5</v>
      </c>
      <c r="AM97" s="5">
        <v>288.7</v>
      </c>
      <c r="AN97" s="5">
        <v>288.797</v>
      </c>
      <c r="AO97" s="5">
        <v>288.873</v>
      </c>
      <c r="AP97" s="5">
        <v>288.7</v>
      </c>
      <c r="AQ97" s="5">
        <v>288.9</v>
      </c>
      <c r="AR97" s="5">
        <v>288.9</v>
      </c>
      <c r="AS97" s="5">
        <v>289</v>
      </c>
    </row>
    <row r="98" spans="1:43" ht="12.75">
      <c r="A98" s="240" t="s">
        <v>38</v>
      </c>
      <c r="B98" s="240"/>
      <c r="C98" s="241"/>
      <c r="AC98" s="40"/>
      <c r="AD98" s="40"/>
      <c r="AE98" s="40"/>
      <c r="AF98" s="40"/>
      <c r="AG98" s="40"/>
      <c r="AH98" s="40"/>
      <c r="AI98" s="40"/>
      <c r="AJ98" s="40"/>
      <c r="AK98" s="40"/>
      <c r="AL98" s="40"/>
      <c r="AM98" s="40"/>
      <c r="AN98" s="40"/>
      <c r="AO98" s="40"/>
      <c r="AP98" s="40"/>
      <c r="AQ98" s="40"/>
    </row>
    <row r="99" spans="1:40" ht="78.75">
      <c r="A99" s="240" t="s">
        <v>76</v>
      </c>
      <c r="B99" s="240"/>
      <c r="C99" s="241"/>
      <c r="E99" s="94" t="s">
        <v>464</v>
      </c>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ht="39">
      <c r="A100" s="240" t="s">
        <v>76</v>
      </c>
      <c r="B100" s="240"/>
      <c r="C100" s="241"/>
      <c r="E100" s="94" t="s">
        <v>459</v>
      </c>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row>
    <row r="101" spans="1:40" ht="39">
      <c r="A101" s="240" t="s">
        <v>76</v>
      </c>
      <c r="B101" s="240"/>
      <c r="C101" s="241"/>
      <c r="E101" s="94" t="s">
        <v>460</v>
      </c>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row>
    <row r="102" spans="1:40" ht="39">
      <c r="A102" s="240" t="s">
        <v>76</v>
      </c>
      <c r="B102" s="240"/>
      <c r="C102" s="241"/>
      <c r="E102" s="213" t="s">
        <v>461</v>
      </c>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row>
    <row r="103" spans="1:40" ht="26.25">
      <c r="A103" s="240" t="s">
        <v>76</v>
      </c>
      <c r="B103" s="240"/>
      <c r="C103" s="241"/>
      <c r="E103" s="213" t="s">
        <v>463</v>
      </c>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row>
  </sheetData>
  <sheetProtection/>
  <printOptions/>
  <pageMargins left="0.75" right="0.75" top="1" bottom="1" header="0.5" footer="0.5"/>
  <pageSetup fitToHeight="1" fitToWidth="1" horizontalDpi="600" verticalDpi="600" orientation="portrait" paperSize="8" scale="73" r:id="rId1"/>
  <rowBreaks count="1" manualBreakCount="1">
    <brk id="52" min="4" max="43" man="1"/>
  </rowBreaks>
  <ignoredErrors>
    <ignoredError sqref="I100:Y112" formulaRange="1"/>
  </ignoredErrors>
</worksheet>
</file>

<file path=xl/worksheets/sheet20.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customWidth="1"/>
    <col min="3" max="3" width="11.140625" style="89" customWidth="1"/>
    <col min="4" max="4" width="31.00390625" style="89" hidden="1" customWidth="1"/>
    <col min="5" max="5" width="39.00390625" style="89" customWidth="1"/>
    <col min="6" max="8" width="9.28125" style="89" hidden="1" customWidth="1"/>
    <col min="9" max="9" width="0" style="89" hidden="1"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42004</v>
      </c>
    </row>
    <row r="3" spans="1:5" ht="12.75">
      <c r="A3" s="250"/>
      <c r="B3" s="97" t="s">
        <v>144</v>
      </c>
      <c r="C3" s="98" t="s">
        <v>145</v>
      </c>
      <c r="D3" s="102" t="s">
        <v>146</v>
      </c>
      <c r="E3" s="102" t="s">
        <v>147</v>
      </c>
    </row>
    <row r="4" spans="1:5" ht="12.75">
      <c r="A4" s="240" t="s">
        <v>34</v>
      </c>
      <c r="B4" s="97" t="s">
        <v>148</v>
      </c>
      <c r="C4" s="40"/>
      <c r="D4" s="119" t="s">
        <v>381</v>
      </c>
      <c r="E4" s="119" t="s">
        <v>381</v>
      </c>
    </row>
    <row r="5" spans="1:14" ht="12.75">
      <c r="A5" s="252"/>
      <c r="B5" s="97" t="s">
        <v>150</v>
      </c>
      <c r="C5" s="103" t="s">
        <v>284</v>
      </c>
      <c r="D5" s="53"/>
      <c r="E5" s="119"/>
      <c r="F5" s="70"/>
      <c r="G5" s="70"/>
      <c r="H5" s="70"/>
      <c r="K5" s="173"/>
      <c r="L5" s="173"/>
      <c r="M5" s="173"/>
      <c r="N5" s="173"/>
    </row>
    <row r="6" spans="1:16"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32694</v>
      </c>
      <c r="G8" s="9">
        <v>30412</v>
      </c>
      <c r="H8" s="9">
        <v>29836</v>
      </c>
      <c r="I8" s="9">
        <v>32694</v>
      </c>
      <c r="J8" s="9">
        <v>30969</v>
      </c>
      <c r="K8" s="9">
        <v>27665</v>
      </c>
      <c r="L8" s="9">
        <v>30684</v>
      </c>
      <c r="M8" s="9">
        <v>31864</v>
      </c>
      <c r="N8" s="9">
        <v>34141</v>
      </c>
      <c r="O8" s="9">
        <v>43053</v>
      </c>
      <c r="P8" s="9">
        <v>43402</v>
      </c>
    </row>
    <row r="9" spans="1:16" ht="12.75">
      <c r="A9" s="240" t="s">
        <v>36</v>
      </c>
      <c r="B9" s="240" t="s">
        <v>39</v>
      </c>
      <c r="C9" s="240" t="s">
        <v>530</v>
      </c>
      <c r="D9" s="40"/>
      <c r="E9" s="49" t="s">
        <v>542</v>
      </c>
      <c r="F9" s="9"/>
      <c r="G9" s="9"/>
      <c r="H9" s="9"/>
      <c r="I9" s="9"/>
      <c r="J9" s="9"/>
      <c r="K9" s="9"/>
      <c r="L9" s="9"/>
      <c r="M9" s="9"/>
      <c r="N9" s="10">
        <v>2.9</v>
      </c>
      <c r="O9" s="10">
        <v>4.9</v>
      </c>
      <c r="P9" s="10">
        <v>-0.9</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1283</v>
      </c>
      <c r="G11" s="9">
        <v>1489</v>
      </c>
      <c r="H11" s="9">
        <v>85</v>
      </c>
      <c r="I11" s="9">
        <v>1299</v>
      </c>
      <c r="J11" s="9">
        <v>1442</v>
      </c>
      <c r="K11" s="9">
        <v>146</v>
      </c>
      <c r="L11" s="9">
        <v>1347</v>
      </c>
      <c r="M11" s="9">
        <v>2136</v>
      </c>
      <c r="N11" s="9">
        <v>1714</v>
      </c>
      <c r="O11" s="9">
        <v>1580</v>
      </c>
      <c r="P11" s="9">
        <v>2671</v>
      </c>
    </row>
    <row r="12" spans="1:16" ht="12.75">
      <c r="A12" s="240" t="s">
        <v>36</v>
      </c>
      <c r="B12" s="255" t="s">
        <v>285</v>
      </c>
      <c r="C12" s="240" t="s">
        <v>530</v>
      </c>
      <c r="D12" s="40"/>
      <c r="E12" s="49" t="s">
        <v>531</v>
      </c>
      <c r="F12" s="10">
        <v>3.924267449684957</v>
      </c>
      <c r="G12" s="10">
        <v>4.896093647244508</v>
      </c>
      <c r="H12" s="10">
        <v>0.28489073602359566</v>
      </c>
      <c r="I12" s="10">
        <v>3.9732060928610755</v>
      </c>
      <c r="J12" s="10">
        <v>4.7</v>
      </c>
      <c r="K12" s="10">
        <v>0.5277426350984998</v>
      </c>
      <c r="L12" s="10">
        <v>4.389910050840829</v>
      </c>
      <c r="M12" s="10">
        <v>6.703489831785086</v>
      </c>
      <c r="N12" s="10">
        <v>5.020356755806802</v>
      </c>
      <c r="O12" s="10">
        <v>3.6698952453952103</v>
      </c>
      <c r="P12" s="10">
        <v>6.154094281369522</v>
      </c>
    </row>
    <row r="13" spans="1:16" ht="12.75">
      <c r="A13" s="240" t="s">
        <v>36</v>
      </c>
      <c r="B13" s="240" t="s">
        <v>39</v>
      </c>
      <c r="C13" s="240"/>
      <c r="D13" s="40"/>
      <c r="E13" s="49" t="s">
        <v>249</v>
      </c>
      <c r="F13" s="9"/>
      <c r="G13" s="9"/>
      <c r="H13" s="9"/>
      <c r="I13" s="9"/>
      <c r="J13" s="9">
        <v>7012</v>
      </c>
      <c r="K13" s="9">
        <v>5316</v>
      </c>
      <c r="L13" s="9">
        <v>4813</v>
      </c>
      <c r="M13" s="9">
        <v>4681</v>
      </c>
      <c r="N13" s="9">
        <v>6216</v>
      </c>
      <c r="O13" s="9">
        <v>4854</v>
      </c>
      <c r="P13" s="9">
        <v>2700</v>
      </c>
    </row>
    <row r="14" spans="1:16" ht="12.75">
      <c r="A14" s="240" t="s">
        <v>36</v>
      </c>
      <c r="B14" s="240" t="s">
        <v>39</v>
      </c>
      <c r="C14" s="240" t="s">
        <v>530</v>
      </c>
      <c r="D14" s="40"/>
      <c r="E14" s="49" t="s">
        <v>552</v>
      </c>
      <c r="F14" s="10"/>
      <c r="G14" s="10"/>
      <c r="H14" s="10"/>
      <c r="I14" s="10"/>
      <c r="J14" s="10">
        <v>21.8</v>
      </c>
      <c r="K14" s="10">
        <v>4.8</v>
      </c>
      <c r="L14" s="10">
        <v>33.2</v>
      </c>
      <c r="M14" s="10">
        <v>40.9</v>
      </c>
      <c r="N14" s="10">
        <v>34</v>
      </c>
      <c r="O14" s="10">
        <v>29</v>
      </c>
      <c r="P14" s="10">
        <v>75.7</v>
      </c>
    </row>
    <row r="15" spans="1:16" ht="12.75">
      <c r="A15" s="240" t="s">
        <v>36</v>
      </c>
      <c r="B15" s="240" t="s">
        <v>39</v>
      </c>
      <c r="C15" s="240"/>
      <c r="D15" s="40"/>
      <c r="E15" s="49" t="s">
        <v>302</v>
      </c>
      <c r="F15" s="9"/>
      <c r="G15" s="9"/>
      <c r="H15" s="9"/>
      <c r="I15" s="9"/>
      <c r="J15" s="9">
        <v>692</v>
      </c>
      <c r="K15" s="9">
        <v>700</v>
      </c>
      <c r="L15" s="9">
        <v>1771</v>
      </c>
      <c r="M15" s="9">
        <v>855</v>
      </c>
      <c r="N15" s="9">
        <v>853</v>
      </c>
      <c r="O15" s="9">
        <v>832</v>
      </c>
      <c r="P15" s="9">
        <v>640</v>
      </c>
    </row>
    <row r="16" spans="1:16" ht="12.75">
      <c r="A16" s="240" t="s">
        <v>36</v>
      </c>
      <c r="B16" s="240" t="s">
        <v>39</v>
      </c>
      <c r="C16" s="240" t="s">
        <v>596</v>
      </c>
      <c r="D16" s="40"/>
      <c r="E16" s="49" t="s">
        <v>130</v>
      </c>
      <c r="F16" s="9"/>
      <c r="G16" s="9"/>
      <c r="H16" s="9"/>
      <c r="I16" s="9"/>
      <c r="J16" s="9">
        <v>11727</v>
      </c>
      <c r="K16" s="9">
        <v>11174</v>
      </c>
      <c r="L16" s="9">
        <v>11319</v>
      </c>
      <c r="M16" s="9">
        <v>12597</v>
      </c>
      <c r="N16" s="9">
        <v>14918</v>
      </c>
      <c r="O16" s="9">
        <v>14923</v>
      </c>
      <c r="P16" s="9">
        <v>14838</v>
      </c>
    </row>
    <row r="17" spans="1:11" ht="12.75">
      <c r="A17" s="240" t="s">
        <v>38</v>
      </c>
      <c r="B17" s="240"/>
      <c r="C17" s="240"/>
      <c r="D17" s="40"/>
      <c r="E17" s="49"/>
      <c r="F17" s="9"/>
      <c r="G17" s="9"/>
      <c r="H17" s="9"/>
      <c r="I17" s="9"/>
      <c r="J17" s="9"/>
      <c r="K17" s="9"/>
    </row>
    <row r="18" spans="1:10" ht="158.25">
      <c r="A18" s="240" t="s">
        <v>76</v>
      </c>
      <c r="B18" s="240"/>
      <c r="C18" s="240"/>
      <c r="E18" s="228" t="s">
        <v>521</v>
      </c>
      <c r="F18" s="9"/>
      <c r="G18" s="9"/>
      <c r="H18" s="9"/>
      <c r="I18" s="9"/>
      <c r="J18" s="9"/>
    </row>
  </sheetData>
  <sheetProtection/>
  <printOptions/>
  <pageMargins left="0.75" right="0.75" top="1" bottom="1" header="0.5" footer="0.5"/>
  <pageSetup horizontalDpi="600" verticalDpi="600" orientation="landscape" paperSize="9" scale="65" r:id="rId1"/>
</worksheet>
</file>

<file path=xl/worksheets/sheet21.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23.00390625" style="89" hidden="1" customWidth="1"/>
    <col min="5" max="5" width="40.00390625" style="89" customWidth="1"/>
    <col min="6" max="8" width="9.28125" style="89" customWidth="1"/>
    <col min="9" max="9" width="7.28125" style="89"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42004</v>
      </c>
    </row>
    <row r="3" spans="1:5" ht="12.75">
      <c r="A3" s="250"/>
      <c r="B3" s="97" t="s">
        <v>144</v>
      </c>
      <c r="C3" s="98" t="s">
        <v>145</v>
      </c>
      <c r="D3" s="102" t="s">
        <v>146</v>
      </c>
      <c r="E3" s="102" t="s">
        <v>147</v>
      </c>
    </row>
    <row r="4" spans="1:5" ht="12.75">
      <c r="A4" s="240" t="s">
        <v>34</v>
      </c>
      <c r="B4" s="97" t="s">
        <v>148</v>
      </c>
      <c r="C4" s="40"/>
      <c r="D4" s="119" t="s">
        <v>382</v>
      </c>
      <c r="E4" s="119" t="s">
        <v>382</v>
      </c>
    </row>
    <row r="5" spans="2:14" ht="12.75">
      <c r="B5" s="97" t="s">
        <v>150</v>
      </c>
      <c r="C5" s="103" t="s">
        <v>284</v>
      </c>
      <c r="D5" s="40"/>
      <c r="E5" s="119"/>
      <c r="L5" s="168"/>
      <c r="N5" s="173"/>
    </row>
    <row r="6" spans="1:16"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7357</v>
      </c>
      <c r="G8" s="9">
        <v>8794</v>
      </c>
      <c r="H8" s="9">
        <v>10485</v>
      </c>
      <c r="I8" s="9">
        <v>13302</v>
      </c>
      <c r="J8" s="9">
        <v>16260</v>
      </c>
      <c r="K8" s="9">
        <v>17810</v>
      </c>
      <c r="L8" s="9">
        <v>22044</v>
      </c>
      <c r="M8" s="9">
        <v>20695</v>
      </c>
      <c r="N8" s="9">
        <v>20041</v>
      </c>
      <c r="O8" s="9">
        <v>18546</v>
      </c>
      <c r="P8" s="9">
        <v>15419</v>
      </c>
    </row>
    <row r="9" spans="1:16" ht="12.75">
      <c r="A9" s="240" t="s">
        <v>36</v>
      </c>
      <c r="B9" s="240" t="s">
        <v>39</v>
      </c>
      <c r="C9" s="240" t="s">
        <v>530</v>
      </c>
      <c r="D9" s="40"/>
      <c r="E9" s="49" t="s">
        <v>542</v>
      </c>
      <c r="F9" s="9"/>
      <c r="G9" s="9"/>
      <c r="H9" s="9"/>
      <c r="I9" s="9"/>
      <c r="J9" s="9"/>
      <c r="K9" s="9"/>
      <c r="L9" s="9"/>
      <c r="M9" s="9"/>
      <c r="N9" s="10">
        <v>2.8</v>
      </c>
      <c r="O9" s="10">
        <v>-1.5</v>
      </c>
      <c r="P9" s="10">
        <v>-10.8</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291</v>
      </c>
      <c r="G11" s="9">
        <v>462</v>
      </c>
      <c r="H11" s="9">
        <v>645</v>
      </c>
      <c r="I11" s="9">
        <v>809</v>
      </c>
      <c r="J11" s="9">
        <v>952</v>
      </c>
      <c r="K11" s="9">
        <v>820</v>
      </c>
      <c r="L11" s="9">
        <v>1590</v>
      </c>
      <c r="M11" s="9">
        <v>979</v>
      </c>
      <c r="N11" s="9">
        <v>1069</v>
      </c>
      <c r="O11" s="9">
        <v>463</v>
      </c>
      <c r="P11" s="9">
        <v>-68</v>
      </c>
    </row>
    <row r="12" spans="1:16" ht="12.75">
      <c r="A12" s="240" t="s">
        <v>36</v>
      </c>
      <c r="B12" s="255" t="s">
        <v>285</v>
      </c>
      <c r="C12" s="240" t="s">
        <v>530</v>
      </c>
      <c r="D12" s="40"/>
      <c r="E12" s="49" t="s">
        <v>531</v>
      </c>
      <c r="F12" s="10">
        <v>3.955416610031263</v>
      </c>
      <c r="G12" s="10">
        <v>5.253581987718899</v>
      </c>
      <c r="H12" s="10">
        <v>6.151645207439199</v>
      </c>
      <c r="I12" s="10">
        <v>6.081792211697489</v>
      </c>
      <c r="J12" s="10">
        <v>5.9</v>
      </c>
      <c r="K12" s="10">
        <v>4.604154969118473</v>
      </c>
      <c r="L12" s="10">
        <v>7.212847033206314</v>
      </c>
      <c r="M12" s="10">
        <v>4.730611258758154</v>
      </c>
      <c r="N12" s="10">
        <v>5.334065166408862</v>
      </c>
      <c r="O12" s="10">
        <v>2.496495201121536</v>
      </c>
      <c r="P12" s="10">
        <v>-0.4410143329658214</v>
      </c>
    </row>
    <row r="13" spans="1:16" ht="12.75">
      <c r="A13" s="240" t="s">
        <v>36</v>
      </c>
      <c r="B13" s="240" t="s">
        <v>39</v>
      </c>
      <c r="C13" s="240"/>
      <c r="D13" s="40"/>
      <c r="E13" s="49" t="s">
        <v>249</v>
      </c>
      <c r="F13" s="9"/>
      <c r="G13" s="9"/>
      <c r="H13" s="9"/>
      <c r="I13" s="9"/>
      <c r="J13" s="9">
        <v>3146</v>
      </c>
      <c r="K13" s="9">
        <v>7468</v>
      </c>
      <c r="L13" s="9">
        <v>6736</v>
      </c>
      <c r="M13" s="9">
        <v>6554</v>
      </c>
      <c r="N13" s="9">
        <v>6913</v>
      </c>
      <c r="O13" s="9">
        <v>5799</v>
      </c>
      <c r="P13" s="9">
        <v>6216</v>
      </c>
    </row>
    <row r="14" spans="1:16" ht="12.75">
      <c r="A14" s="240" t="s">
        <v>36</v>
      </c>
      <c r="B14" s="240" t="s">
        <v>39</v>
      </c>
      <c r="C14" s="240" t="s">
        <v>530</v>
      </c>
      <c r="D14" s="40"/>
      <c r="E14" s="49" t="s">
        <v>552</v>
      </c>
      <c r="F14" s="10"/>
      <c r="G14" s="10"/>
      <c r="H14" s="10"/>
      <c r="I14" s="10"/>
      <c r="J14" s="10">
        <v>30.4</v>
      </c>
      <c r="K14" s="10">
        <v>21.2</v>
      </c>
      <c r="L14" s="10">
        <v>22.5</v>
      </c>
      <c r="M14" s="10">
        <v>13.8</v>
      </c>
      <c r="N14" s="10">
        <v>15.9</v>
      </c>
      <c r="O14" s="10">
        <v>6.8</v>
      </c>
      <c r="P14" s="10">
        <v>-1.1</v>
      </c>
    </row>
    <row r="15" spans="1:16" ht="12.75">
      <c r="A15" s="240" t="s">
        <v>36</v>
      </c>
      <c r="B15" s="240" t="s">
        <v>39</v>
      </c>
      <c r="C15" s="240"/>
      <c r="D15" s="40"/>
      <c r="E15" s="49" t="s">
        <v>302</v>
      </c>
      <c r="F15" s="9"/>
      <c r="G15" s="9"/>
      <c r="H15" s="9"/>
      <c r="I15" s="9"/>
      <c r="J15" s="9">
        <v>650</v>
      </c>
      <c r="K15" s="9">
        <v>526</v>
      </c>
      <c r="L15" s="9">
        <v>488</v>
      </c>
      <c r="M15" s="9">
        <v>742</v>
      </c>
      <c r="N15" s="9">
        <v>535</v>
      </c>
      <c r="O15" s="9">
        <v>601</v>
      </c>
      <c r="P15" s="9">
        <v>441</v>
      </c>
    </row>
    <row r="16" spans="1:16" ht="12.75">
      <c r="A16" s="240" t="s">
        <v>36</v>
      </c>
      <c r="B16" s="240" t="s">
        <v>39</v>
      </c>
      <c r="C16" s="240" t="s">
        <v>596</v>
      </c>
      <c r="D16" s="40"/>
      <c r="E16" s="49" t="s">
        <v>130</v>
      </c>
      <c r="F16" s="9"/>
      <c r="G16" s="9"/>
      <c r="H16" s="9"/>
      <c r="I16" s="9"/>
      <c r="J16" s="9">
        <v>11246</v>
      </c>
      <c r="K16" s="9">
        <v>11537</v>
      </c>
      <c r="L16" s="9">
        <v>13812</v>
      </c>
      <c r="M16" s="9">
        <v>14239</v>
      </c>
      <c r="N16" s="9">
        <v>13096</v>
      </c>
      <c r="O16" s="9">
        <v>12279</v>
      </c>
      <c r="P16" s="9">
        <v>10459</v>
      </c>
    </row>
    <row r="17" spans="1:11" ht="12.75">
      <c r="A17" s="240" t="s">
        <v>38</v>
      </c>
      <c r="B17" s="240"/>
      <c r="C17" s="240"/>
      <c r="D17" s="40"/>
      <c r="E17" s="49"/>
      <c r="F17" s="9"/>
      <c r="G17" s="9"/>
      <c r="H17" s="9"/>
      <c r="I17" s="9"/>
      <c r="J17" s="9"/>
      <c r="K17" s="9"/>
    </row>
    <row r="18" spans="1:10" ht="158.25">
      <c r="A18" s="240" t="s">
        <v>76</v>
      </c>
      <c r="B18" s="240"/>
      <c r="C18" s="240"/>
      <c r="E18" s="228" t="s">
        <v>522</v>
      </c>
      <c r="F18" s="9"/>
      <c r="G18" s="9"/>
      <c r="H18" s="9"/>
      <c r="I18" s="9"/>
      <c r="J18" s="9"/>
    </row>
  </sheetData>
  <sheetProtection/>
  <printOptions/>
  <pageMargins left="0.75" right="0.75" top="1" bottom="1" header="0.5" footer="0.5"/>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28.421875" style="89" hidden="1" customWidth="1"/>
    <col min="5" max="5" width="35.8515625" style="89" customWidth="1"/>
    <col min="6" max="8" width="9.28125" style="89" customWidth="1"/>
    <col min="9" max="9" width="9.140625" style="89"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42004</v>
      </c>
    </row>
    <row r="3" spans="1:5" ht="12.75">
      <c r="A3" s="250"/>
      <c r="B3" s="97" t="s">
        <v>144</v>
      </c>
      <c r="C3" s="98" t="s">
        <v>145</v>
      </c>
      <c r="D3" s="102" t="s">
        <v>146</v>
      </c>
      <c r="E3" s="102" t="s">
        <v>147</v>
      </c>
    </row>
    <row r="4" spans="1:5" ht="12.75">
      <c r="A4" s="240" t="s">
        <v>34</v>
      </c>
      <c r="B4" s="97" t="s">
        <v>148</v>
      </c>
      <c r="C4" s="40"/>
      <c r="D4" s="119" t="s">
        <v>383</v>
      </c>
      <c r="E4" s="119" t="s">
        <v>383</v>
      </c>
    </row>
    <row r="5" spans="1:14" ht="12.75">
      <c r="A5" s="252"/>
      <c r="B5" s="97" t="s">
        <v>150</v>
      </c>
      <c r="C5" s="103" t="s">
        <v>284</v>
      </c>
      <c r="D5" s="53"/>
      <c r="E5" s="119"/>
      <c r="F5" s="70"/>
      <c r="G5" s="70"/>
      <c r="H5" s="70"/>
      <c r="L5" s="168"/>
      <c r="M5" s="173"/>
      <c r="N5" s="173"/>
    </row>
    <row r="6" spans="1:16" ht="12.75">
      <c r="A6" s="245" t="s">
        <v>35</v>
      </c>
      <c r="B6" s="113" t="s">
        <v>149</v>
      </c>
      <c r="C6" s="103" t="s">
        <v>284</v>
      </c>
      <c r="D6" s="103"/>
      <c r="E6" s="154" t="s">
        <v>277</v>
      </c>
      <c r="F6" s="155" t="s">
        <v>385</v>
      </c>
      <c r="G6" s="155" t="s">
        <v>386</v>
      </c>
      <c r="H6" s="155" t="s">
        <v>387</v>
      </c>
      <c r="I6" s="155" t="s">
        <v>375</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5803</v>
      </c>
      <c r="G8" s="9">
        <v>6080</v>
      </c>
      <c r="H8" s="9">
        <v>6049</v>
      </c>
      <c r="I8" s="9">
        <v>7037</v>
      </c>
      <c r="J8" s="9">
        <v>7679</v>
      </c>
      <c r="K8" s="9">
        <v>7852</v>
      </c>
      <c r="L8" s="9">
        <v>8405</v>
      </c>
      <c r="M8" s="9">
        <v>8653</v>
      </c>
      <c r="N8" s="9">
        <v>8803</v>
      </c>
      <c r="O8" s="9">
        <v>9229</v>
      </c>
      <c r="P8" s="9">
        <v>9380</v>
      </c>
    </row>
    <row r="9" spans="1:16" ht="12.75">
      <c r="A9" s="240" t="s">
        <v>36</v>
      </c>
      <c r="B9" s="240" t="s">
        <v>39</v>
      </c>
      <c r="C9" s="240" t="s">
        <v>530</v>
      </c>
      <c r="D9" s="40"/>
      <c r="E9" s="49" t="s">
        <v>542</v>
      </c>
      <c r="F9" s="9"/>
      <c r="G9" s="9"/>
      <c r="H9" s="9"/>
      <c r="I9" s="9"/>
      <c r="J9" s="9"/>
      <c r="K9" s="9"/>
      <c r="L9" s="9"/>
      <c r="M9" s="9"/>
      <c r="N9" s="10">
        <v>0.4</v>
      </c>
      <c r="O9" s="10">
        <v>-5.1</v>
      </c>
      <c r="P9" s="10">
        <v>1.3</v>
      </c>
    </row>
    <row r="10" spans="1:16" ht="12.75">
      <c r="A10" s="240" t="s">
        <v>36</v>
      </c>
      <c r="B10" s="240" t="s">
        <v>39</v>
      </c>
      <c r="C10" s="240" t="s">
        <v>530</v>
      </c>
      <c r="D10" s="40"/>
      <c r="E10" s="49" t="s">
        <v>546</v>
      </c>
      <c r="F10" s="9"/>
      <c r="G10" s="9"/>
      <c r="H10" s="9"/>
      <c r="I10" s="9"/>
      <c r="J10" s="9"/>
      <c r="K10" s="9"/>
      <c r="L10" s="9"/>
      <c r="M10" s="9"/>
      <c r="N10" s="10">
        <v>0.6</v>
      </c>
      <c r="O10" s="10">
        <v>0.8</v>
      </c>
      <c r="P10" s="10">
        <v>0.5</v>
      </c>
    </row>
    <row r="11" spans="1:16" ht="12.75">
      <c r="A11" s="240" t="s">
        <v>36</v>
      </c>
      <c r="B11" s="240" t="s">
        <v>39</v>
      </c>
      <c r="C11" s="240"/>
      <c r="D11" s="40"/>
      <c r="E11" s="49" t="s">
        <v>239</v>
      </c>
      <c r="F11" s="9">
        <v>-69</v>
      </c>
      <c r="G11" s="9">
        <v>63</v>
      </c>
      <c r="H11" s="9">
        <v>93</v>
      </c>
      <c r="I11" s="9">
        <v>378</v>
      </c>
      <c r="J11" s="9">
        <v>793</v>
      </c>
      <c r="K11" s="9">
        <v>736</v>
      </c>
      <c r="L11" s="9">
        <v>746</v>
      </c>
      <c r="M11" s="174">
        <v>116</v>
      </c>
      <c r="N11" s="174">
        <v>438</v>
      </c>
      <c r="O11" s="174">
        <v>364</v>
      </c>
      <c r="P11" s="174">
        <v>626</v>
      </c>
    </row>
    <row r="12" spans="1:16" ht="12.75">
      <c r="A12" s="240" t="s">
        <v>36</v>
      </c>
      <c r="B12" s="255" t="s">
        <v>285</v>
      </c>
      <c r="C12" s="240" t="s">
        <v>530</v>
      </c>
      <c r="D12" s="40"/>
      <c r="E12" s="49" t="s">
        <v>531</v>
      </c>
      <c r="F12" s="10">
        <v>-1.1890401516457005</v>
      </c>
      <c r="G12" s="10">
        <v>1.0361842105263157</v>
      </c>
      <c r="H12" s="10">
        <v>1.5374442056538271</v>
      </c>
      <c r="I12" s="10">
        <v>5.371607218985363</v>
      </c>
      <c r="J12" s="10">
        <v>10.3</v>
      </c>
      <c r="K12" s="10">
        <v>9.373408048904738</v>
      </c>
      <c r="L12" s="10">
        <v>8.875669244497324</v>
      </c>
      <c r="M12" s="175">
        <v>1.3405755229400207</v>
      </c>
      <c r="N12" s="175">
        <v>4.975576508008634</v>
      </c>
      <c r="O12" s="175">
        <v>3.944089283779391</v>
      </c>
      <c r="P12" s="175">
        <v>6.673773987206823</v>
      </c>
    </row>
    <row r="13" spans="1:16" ht="12.75">
      <c r="A13" s="240" t="s">
        <v>36</v>
      </c>
      <c r="B13" s="240" t="s">
        <v>39</v>
      </c>
      <c r="C13" s="240"/>
      <c r="D13" s="40"/>
      <c r="E13" s="49" t="s">
        <v>249</v>
      </c>
      <c r="F13" s="9"/>
      <c r="G13" s="9"/>
      <c r="H13" s="9"/>
      <c r="I13" s="9"/>
      <c r="J13" s="9">
        <v>2020</v>
      </c>
      <c r="K13" s="9">
        <v>2040</v>
      </c>
      <c r="L13" s="9">
        <v>2225</v>
      </c>
      <c r="M13" s="9">
        <v>1663</v>
      </c>
      <c r="N13" s="9">
        <v>2095</v>
      </c>
      <c r="O13" s="9">
        <v>1600</v>
      </c>
      <c r="P13" s="9">
        <v>1842</v>
      </c>
    </row>
    <row r="14" spans="1:16" ht="12.75">
      <c r="A14" s="240" t="s">
        <v>36</v>
      </c>
      <c r="B14" s="240" t="s">
        <v>39</v>
      </c>
      <c r="C14" s="240" t="s">
        <v>530</v>
      </c>
      <c r="D14" s="40"/>
      <c r="E14" s="49" t="s">
        <v>552</v>
      </c>
      <c r="F14" s="10"/>
      <c r="G14" s="10"/>
      <c r="H14" s="10"/>
      <c r="I14" s="10"/>
      <c r="J14" s="10">
        <v>40.6</v>
      </c>
      <c r="K14" s="10">
        <v>37.5</v>
      </c>
      <c r="L14" s="10">
        <v>33.3</v>
      </c>
      <c r="M14" s="10">
        <v>21</v>
      </c>
      <c r="N14" s="10">
        <v>22.1</v>
      </c>
      <c r="O14" s="10">
        <v>18.1</v>
      </c>
      <c r="P14" s="10">
        <v>34.6</v>
      </c>
    </row>
    <row r="15" spans="1:16" ht="12.75">
      <c r="A15" s="240" t="s">
        <v>36</v>
      </c>
      <c r="B15" s="240" t="s">
        <v>39</v>
      </c>
      <c r="C15" s="240"/>
      <c r="D15" s="40"/>
      <c r="E15" s="49" t="s">
        <v>302</v>
      </c>
      <c r="F15" s="9"/>
      <c r="G15" s="9"/>
      <c r="H15" s="9"/>
      <c r="I15" s="9"/>
      <c r="J15" s="9">
        <v>198</v>
      </c>
      <c r="K15" s="9">
        <v>286</v>
      </c>
      <c r="L15" s="9">
        <v>411</v>
      </c>
      <c r="M15" s="9">
        <v>267</v>
      </c>
      <c r="N15" s="9">
        <v>349</v>
      </c>
      <c r="O15" s="9">
        <v>274</v>
      </c>
      <c r="P15" s="9">
        <v>238</v>
      </c>
    </row>
    <row r="16" spans="1:16" ht="12.75">
      <c r="A16" s="240" t="s">
        <v>36</v>
      </c>
      <c r="B16" s="240" t="s">
        <v>39</v>
      </c>
      <c r="C16" s="240" t="s">
        <v>596</v>
      </c>
      <c r="D16" s="40"/>
      <c r="E16" s="49" t="s">
        <v>130</v>
      </c>
      <c r="F16" s="9"/>
      <c r="G16" s="9"/>
      <c r="H16" s="9"/>
      <c r="I16" s="9"/>
      <c r="J16" s="9">
        <v>3165</v>
      </c>
      <c r="K16" s="9">
        <v>3296</v>
      </c>
      <c r="L16" s="9">
        <v>3313</v>
      </c>
      <c r="M16" s="9">
        <v>3719</v>
      </c>
      <c r="N16" s="9">
        <v>3792</v>
      </c>
      <c r="O16" s="9">
        <v>3874</v>
      </c>
      <c r="P16" s="9">
        <v>3493</v>
      </c>
    </row>
    <row r="17" spans="1:3" ht="12.75">
      <c r="A17" s="240" t="s">
        <v>38</v>
      </c>
      <c r="B17" s="240"/>
      <c r="C17" s="240"/>
    </row>
    <row r="18" spans="1:5" ht="158.25">
      <c r="A18" s="240" t="s">
        <v>76</v>
      </c>
      <c r="B18" s="240"/>
      <c r="C18" s="240"/>
      <c r="E18" s="228" t="s">
        <v>521</v>
      </c>
    </row>
  </sheetData>
  <sheetProtection/>
  <printOptions/>
  <pageMargins left="0.75" right="0.75" top="1" bottom="1" header="0.5" footer="0.5"/>
  <pageSetup fitToHeight="1" fitToWidth="1"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customWidth="1"/>
    <col min="3" max="3" width="11.140625" style="89" customWidth="1"/>
    <col min="4" max="4" width="23.421875" style="89" hidden="1" customWidth="1"/>
    <col min="5" max="5" width="38.28125" style="89" customWidth="1"/>
    <col min="6" max="8" width="9.28125" style="89" customWidth="1"/>
    <col min="9" max="9" width="9.140625" style="89" customWidth="1"/>
    <col min="10"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42004</v>
      </c>
    </row>
    <row r="3" spans="1:5" ht="12.75">
      <c r="A3" s="250"/>
      <c r="B3" s="97" t="s">
        <v>144</v>
      </c>
      <c r="C3" s="98" t="s">
        <v>145</v>
      </c>
      <c r="D3" s="102" t="s">
        <v>146</v>
      </c>
      <c r="E3" s="102" t="s">
        <v>147</v>
      </c>
    </row>
    <row r="4" spans="1:5" ht="12.75">
      <c r="A4" s="240" t="s">
        <v>34</v>
      </c>
      <c r="B4" s="97" t="s">
        <v>148</v>
      </c>
      <c r="C4" s="40"/>
      <c r="D4" s="119" t="s">
        <v>379</v>
      </c>
      <c r="E4" s="119" t="s">
        <v>379</v>
      </c>
    </row>
    <row r="5" spans="2:14" ht="12.75">
      <c r="B5" s="97" t="s">
        <v>150</v>
      </c>
      <c r="C5" s="103" t="s">
        <v>284</v>
      </c>
      <c r="D5" s="40"/>
      <c r="E5" s="119"/>
      <c r="L5" s="168"/>
      <c r="M5" s="173"/>
      <c r="N5" s="173"/>
    </row>
    <row r="6" spans="1:16"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7987</v>
      </c>
      <c r="G8" s="9">
        <v>8309</v>
      </c>
      <c r="H8" s="9">
        <v>7987</v>
      </c>
      <c r="I8" s="9">
        <v>8464</v>
      </c>
      <c r="J8" s="9">
        <v>8422</v>
      </c>
      <c r="K8" s="9">
        <v>8359</v>
      </c>
      <c r="L8" s="9">
        <v>9011</v>
      </c>
      <c r="M8" s="9">
        <v>8952</v>
      </c>
      <c r="N8" s="9">
        <v>8678</v>
      </c>
      <c r="O8" s="9">
        <v>8958</v>
      </c>
      <c r="P8" s="9">
        <v>8183</v>
      </c>
    </row>
    <row r="9" spans="1:16" ht="12.75">
      <c r="A9" s="240" t="s">
        <v>36</v>
      </c>
      <c r="B9" s="240" t="s">
        <v>39</v>
      </c>
      <c r="C9" s="240" t="s">
        <v>530</v>
      </c>
      <c r="D9" s="40"/>
      <c r="E9" s="49" t="s">
        <v>542</v>
      </c>
      <c r="F9" s="9"/>
      <c r="G9" s="9"/>
      <c r="H9" s="9"/>
      <c r="I9" s="9"/>
      <c r="J9" s="9"/>
      <c r="K9" s="9"/>
      <c r="L9" s="9"/>
      <c r="M9" s="9"/>
      <c r="N9" s="10">
        <v>-4.2</v>
      </c>
      <c r="O9" s="10">
        <v>-3.8</v>
      </c>
      <c r="P9" s="10">
        <v>-8.2</v>
      </c>
    </row>
    <row r="10" spans="1:16" ht="12.75">
      <c r="A10" s="240" t="s">
        <v>36</v>
      </c>
      <c r="B10" s="240" t="s">
        <v>39</v>
      </c>
      <c r="C10" s="240" t="s">
        <v>530</v>
      </c>
      <c r="D10" s="40"/>
      <c r="E10" s="49" t="s">
        <v>546</v>
      </c>
      <c r="F10" s="9"/>
      <c r="G10" s="9"/>
      <c r="H10" s="9"/>
      <c r="I10" s="9"/>
      <c r="J10" s="9"/>
      <c r="K10" s="9"/>
      <c r="L10" s="9"/>
      <c r="M10" s="9"/>
      <c r="N10" s="10">
        <v>0</v>
      </c>
      <c r="O10" s="10">
        <v>0</v>
      </c>
      <c r="P10" s="10">
        <v>0</v>
      </c>
    </row>
    <row r="11" spans="1:16" ht="12.75">
      <c r="A11" s="240" t="s">
        <v>36</v>
      </c>
      <c r="B11" s="240" t="s">
        <v>39</v>
      </c>
      <c r="C11" s="240"/>
      <c r="D11" s="40"/>
      <c r="E11" s="49" t="s">
        <v>239</v>
      </c>
      <c r="F11" s="9">
        <v>562</v>
      </c>
      <c r="G11" s="9">
        <v>747</v>
      </c>
      <c r="H11" s="9">
        <v>764</v>
      </c>
      <c r="I11" s="9">
        <v>763</v>
      </c>
      <c r="J11" s="9">
        <v>802</v>
      </c>
      <c r="K11" s="9">
        <v>543</v>
      </c>
      <c r="L11" s="9">
        <v>461</v>
      </c>
      <c r="M11" s="9">
        <v>309</v>
      </c>
      <c r="N11" s="9">
        <v>200</v>
      </c>
      <c r="O11" s="9">
        <v>-63</v>
      </c>
      <c r="P11" s="9">
        <v>238</v>
      </c>
    </row>
    <row r="12" spans="1:16" ht="12.75">
      <c r="A12" s="240" t="s">
        <v>36</v>
      </c>
      <c r="B12" s="255" t="s">
        <v>285</v>
      </c>
      <c r="C12" s="240" t="s">
        <v>530</v>
      </c>
      <c r="D12" s="40"/>
      <c r="E12" s="49" t="s">
        <v>531</v>
      </c>
      <c r="F12" s="10">
        <v>7.036434205584074</v>
      </c>
      <c r="G12" s="10">
        <v>8.990251534480684</v>
      </c>
      <c r="H12" s="10">
        <v>9.565544009014648</v>
      </c>
      <c r="I12" s="10">
        <v>9.014650283553875</v>
      </c>
      <c r="J12" s="10">
        <v>9.5</v>
      </c>
      <c r="K12" s="10">
        <v>6.495992343581768</v>
      </c>
      <c r="L12" s="10">
        <v>5.1</v>
      </c>
      <c r="M12" s="10">
        <v>3.451742627345845</v>
      </c>
      <c r="N12" s="10">
        <v>2.3046784973496197</v>
      </c>
      <c r="O12" s="10">
        <v>-0.7032819825853985</v>
      </c>
      <c r="P12" s="10">
        <v>2.9084687767322497</v>
      </c>
    </row>
    <row r="13" spans="1:16" ht="12.75">
      <c r="A13" s="240" t="s">
        <v>36</v>
      </c>
      <c r="B13" s="240" t="s">
        <v>39</v>
      </c>
      <c r="C13" s="240"/>
      <c r="D13" s="40"/>
      <c r="E13" s="49" t="s">
        <v>249</v>
      </c>
      <c r="F13" s="9"/>
      <c r="G13" s="9"/>
      <c r="H13" s="9"/>
      <c r="I13" s="9"/>
      <c r="J13" s="9">
        <v>1723</v>
      </c>
      <c r="K13" s="9">
        <v>2210</v>
      </c>
      <c r="L13" s="9">
        <v>1555</v>
      </c>
      <c r="M13" s="9">
        <v>1529</v>
      </c>
      <c r="N13" s="9">
        <v>1464</v>
      </c>
      <c r="O13" s="9">
        <v>1300</v>
      </c>
      <c r="P13" s="9">
        <v>796</v>
      </c>
    </row>
    <row r="14" spans="1:16" ht="12.75">
      <c r="A14" s="240" t="s">
        <v>36</v>
      </c>
      <c r="B14" s="240" t="s">
        <v>39</v>
      </c>
      <c r="C14" s="240" t="s">
        <v>530</v>
      </c>
      <c r="D14" s="40"/>
      <c r="E14" s="49" t="s">
        <v>552</v>
      </c>
      <c r="F14" s="10"/>
      <c r="G14" s="10"/>
      <c r="H14" s="10"/>
      <c r="I14" s="10"/>
      <c r="J14" s="10">
        <v>48.3</v>
      </c>
      <c r="K14" s="10">
        <v>31.1</v>
      </c>
      <c r="L14" s="10">
        <v>24.1</v>
      </c>
      <c r="M14" s="10">
        <v>22.1</v>
      </c>
      <c r="N14" s="10">
        <v>12.5</v>
      </c>
      <c r="O14" s="10">
        <v>-4.4</v>
      </c>
      <c r="P14" s="10">
        <v>18.6</v>
      </c>
    </row>
    <row r="15" spans="1:16" ht="12.75">
      <c r="A15" s="240" t="s">
        <v>36</v>
      </c>
      <c r="B15" s="240" t="s">
        <v>39</v>
      </c>
      <c r="C15" s="240"/>
      <c r="D15" s="40"/>
      <c r="E15" s="49" t="s">
        <v>302</v>
      </c>
      <c r="F15" s="9"/>
      <c r="G15" s="9"/>
      <c r="H15" s="9"/>
      <c r="I15" s="9"/>
      <c r="J15" s="9">
        <v>116</v>
      </c>
      <c r="K15" s="9">
        <v>118</v>
      </c>
      <c r="L15" s="9">
        <v>196</v>
      </c>
      <c r="M15" s="9">
        <v>225</v>
      </c>
      <c r="N15" s="9">
        <v>162</v>
      </c>
      <c r="O15" s="9">
        <v>134</v>
      </c>
      <c r="P15" s="9">
        <v>121</v>
      </c>
    </row>
    <row r="16" spans="1:16" ht="12.75">
      <c r="A16" s="240" t="s">
        <v>36</v>
      </c>
      <c r="B16" s="240" t="s">
        <v>39</v>
      </c>
      <c r="C16" s="240" t="s">
        <v>596</v>
      </c>
      <c r="D16" s="40"/>
      <c r="E16" s="49" t="s">
        <v>130</v>
      </c>
      <c r="F16" s="9"/>
      <c r="G16" s="9"/>
      <c r="H16" s="9"/>
      <c r="I16" s="9"/>
      <c r="J16" s="9">
        <v>2625</v>
      </c>
      <c r="K16" s="9">
        <v>2572</v>
      </c>
      <c r="L16" s="9">
        <v>2737</v>
      </c>
      <c r="M16" s="9">
        <v>2683</v>
      </c>
      <c r="N16" s="9">
        <v>2614</v>
      </c>
      <c r="O16" s="9">
        <v>2548</v>
      </c>
      <c r="P16" s="9">
        <v>2348</v>
      </c>
    </row>
    <row r="17" spans="1:3" ht="12.75">
      <c r="A17" s="240" t="s">
        <v>38</v>
      </c>
      <c r="B17" s="240"/>
      <c r="C17" s="240"/>
    </row>
    <row r="18" spans="1:5" ht="158.25">
      <c r="A18" s="240" t="s">
        <v>76</v>
      </c>
      <c r="B18" s="240"/>
      <c r="C18" s="240"/>
      <c r="E18" s="228" t="s">
        <v>521</v>
      </c>
    </row>
  </sheetData>
  <sheetProtection/>
  <printOptions/>
  <pageMargins left="0.75" right="0.75" top="1" bottom="1" header="0.5" footer="0.5"/>
  <pageSetup fitToHeight="1" fitToWidth="1"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sheetPr>
    <pageSetUpPr fitToPage="1"/>
  </sheetPr>
  <dimension ref="A1:P18"/>
  <sheetViews>
    <sheetView zoomScalePageLayoutView="0" workbookViewId="0" topLeftCell="A1">
      <selection activeCell="A1" sqref="A1"/>
    </sheetView>
  </sheetViews>
  <sheetFormatPr defaultColWidth="9.140625" defaultRowHeight="12.75"/>
  <cols>
    <col min="1" max="1" width="11.140625" style="240" bestFit="1" customWidth="1"/>
    <col min="2" max="2" width="12.140625" style="89" bestFit="1" customWidth="1"/>
    <col min="3" max="3" width="11.28125" style="89" bestFit="1" customWidth="1"/>
    <col min="4" max="4" width="23.421875" style="89" hidden="1" customWidth="1"/>
    <col min="5" max="5" width="30.8515625" style="89" customWidth="1"/>
    <col min="6" max="8" width="9.28125" style="89" customWidth="1"/>
    <col min="9" max="10" width="9.140625" style="89" customWidth="1"/>
    <col min="11" max="16384" width="9.140625" style="89"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+'Income_statement-Y'!E2</f>
        <v>42004</v>
      </c>
    </row>
    <row r="3" spans="1:5" ht="12.75">
      <c r="A3" s="250"/>
      <c r="B3" s="97" t="s">
        <v>144</v>
      </c>
      <c r="C3" s="98" t="s">
        <v>145</v>
      </c>
      <c r="D3" s="102" t="s">
        <v>146</v>
      </c>
      <c r="E3" s="102" t="s">
        <v>147</v>
      </c>
    </row>
    <row r="4" spans="1:5" ht="12.75">
      <c r="A4" s="240" t="s">
        <v>34</v>
      </c>
      <c r="B4" s="97" t="s">
        <v>148</v>
      </c>
      <c r="C4" s="40"/>
      <c r="D4" s="119" t="s">
        <v>131</v>
      </c>
      <c r="E4" s="119" t="s">
        <v>131</v>
      </c>
    </row>
    <row r="5" spans="2:12" ht="12.75">
      <c r="B5" s="97" t="s">
        <v>150</v>
      </c>
      <c r="C5" s="103" t="s">
        <v>284</v>
      </c>
      <c r="D5" s="40"/>
      <c r="E5" s="119"/>
      <c r="L5" s="168"/>
    </row>
    <row r="6" spans="1:16" ht="12.75">
      <c r="A6" s="245" t="s">
        <v>35</v>
      </c>
      <c r="B6" s="113" t="s">
        <v>149</v>
      </c>
      <c r="C6" s="103" t="s">
        <v>284</v>
      </c>
      <c r="D6" s="103"/>
      <c r="E6" s="154" t="s">
        <v>277</v>
      </c>
      <c r="F6" s="155">
        <v>2006</v>
      </c>
      <c r="G6" s="155">
        <v>2007</v>
      </c>
      <c r="H6" s="155">
        <v>2008</v>
      </c>
      <c r="I6" s="155">
        <v>2009</v>
      </c>
      <c r="J6" s="155">
        <v>2010</v>
      </c>
      <c r="K6" s="155">
        <v>2011</v>
      </c>
      <c r="L6" s="87">
        <v>2012</v>
      </c>
      <c r="M6" s="87">
        <v>2013</v>
      </c>
      <c r="N6" s="87">
        <v>2014</v>
      </c>
      <c r="O6" s="87">
        <v>2015</v>
      </c>
      <c r="P6" s="87">
        <v>2016</v>
      </c>
    </row>
    <row r="7" spans="1:5" s="33" customFormat="1" ht="12.75">
      <c r="A7" s="238" t="s">
        <v>571</v>
      </c>
      <c r="B7" s="238"/>
      <c r="C7" s="238"/>
      <c r="E7" s="33" t="s">
        <v>31</v>
      </c>
    </row>
    <row r="8" spans="1:16" ht="12.75">
      <c r="A8" s="240" t="s">
        <v>36</v>
      </c>
      <c r="B8" s="240" t="s">
        <v>39</v>
      </c>
      <c r="C8" s="240"/>
      <c r="D8" s="40"/>
      <c r="E8" s="49" t="s">
        <v>237</v>
      </c>
      <c r="F8" s="9">
        <v>6941</v>
      </c>
      <c r="G8" s="9">
        <v>7102</v>
      </c>
      <c r="H8" s="9">
        <v>7427</v>
      </c>
      <c r="I8" s="9">
        <v>7129</v>
      </c>
      <c r="J8" s="9">
        <v>6389</v>
      </c>
      <c r="K8" s="9">
        <v>5882</v>
      </c>
      <c r="L8" s="9">
        <v>5571</v>
      </c>
      <c r="M8" s="9">
        <v>5550</v>
      </c>
      <c r="N8" s="9">
        <v>6041</v>
      </c>
      <c r="O8" s="9">
        <v>6546</v>
      </c>
      <c r="P8" s="9">
        <v>6865</v>
      </c>
    </row>
    <row r="9" spans="1:16" ht="12.75">
      <c r="A9" s="240" t="s">
        <v>36</v>
      </c>
      <c r="B9" s="240" t="s">
        <v>39</v>
      </c>
      <c r="C9" s="240" t="s">
        <v>530</v>
      </c>
      <c r="D9" s="40"/>
      <c r="E9" s="49" t="s">
        <v>542</v>
      </c>
      <c r="F9" s="9"/>
      <c r="G9" s="9"/>
      <c r="H9" s="9"/>
      <c r="I9" s="9"/>
      <c r="J9" s="9"/>
      <c r="K9" s="9"/>
      <c r="L9" s="9"/>
      <c r="M9" s="9"/>
      <c r="N9" s="10">
        <v>5.6</v>
      </c>
      <c r="O9" s="10">
        <v>2.8</v>
      </c>
      <c r="P9" s="10">
        <v>5</v>
      </c>
    </row>
    <row r="10" spans="1:16" ht="12.75">
      <c r="A10" s="240" t="s">
        <v>36</v>
      </c>
      <c r="B10" s="240" t="s">
        <v>39</v>
      </c>
      <c r="C10" s="240" t="s">
        <v>530</v>
      </c>
      <c r="D10" s="40"/>
      <c r="E10" s="49" t="s">
        <v>555</v>
      </c>
      <c r="F10" s="9"/>
      <c r="G10" s="9"/>
      <c r="H10" s="9"/>
      <c r="I10" s="9"/>
      <c r="J10" s="9"/>
      <c r="K10" s="9"/>
      <c r="L10" s="9"/>
      <c r="M10" s="9"/>
      <c r="N10" s="10">
        <v>0</v>
      </c>
      <c r="O10" s="10">
        <v>1.2</v>
      </c>
      <c r="P10" s="10">
        <v>1.2</v>
      </c>
    </row>
    <row r="11" spans="1:16" ht="12.75">
      <c r="A11" s="240" t="s">
        <v>36</v>
      </c>
      <c r="B11" s="240" t="s">
        <v>39</v>
      </c>
      <c r="C11" s="240"/>
      <c r="D11" s="40"/>
      <c r="E11" s="49" t="s">
        <v>239</v>
      </c>
      <c r="F11" s="9">
        <v>535</v>
      </c>
      <c r="G11" s="9">
        <v>584</v>
      </c>
      <c r="H11" s="9">
        <v>774</v>
      </c>
      <c r="I11" s="9">
        <v>668</v>
      </c>
      <c r="J11" s="9">
        <v>743</v>
      </c>
      <c r="K11" s="9">
        <v>841</v>
      </c>
      <c r="L11" s="9">
        <v>588</v>
      </c>
      <c r="M11" s="9">
        <v>510</v>
      </c>
      <c r="N11" s="9">
        <v>671</v>
      </c>
      <c r="O11" s="9">
        <v>862</v>
      </c>
      <c r="P11" s="9">
        <v>954</v>
      </c>
    </row>
    <row r="12" spans="1:16" ht="12.75">
      <c r="A12" s="240" t="s">
        <v>36</v>
      </c>
      <c r="B12" s="255" t="s">
        <v>285</v>
      </c>
      <c r="C12" s="240" t="s">
        <v>530</v>
      </c>
      <c r="D12" s="40"/>
      <c r="E12" s="49" t="s">
        <v>531</v>
      </c>
      <c r="F12" s="10">
        <v>7.7078230802478025</v>
      </c>
      <c r="G12" s="10">
        <v>8.2</v>
      </c>
      <c r="H12" s="10">
        <v>10.4</v>
      </c>
      <c r="I12" s="10">
        <v>9.370178145602468</v>
      </c>
      <c r="J12" s="10">
        <v>11.629362967600564</v>
      </c>
      <c r="K12" s="10">
        <v>14.297857871472289</v>
      </c>
      <c r="L12" s="10">
        <v>10.6</v>
      </c>
      <c r="M12" s="10">
        <v>9.18918918918919</v>
      </c>
      <c r="N12" s="10">
        <v>11.107432544280748</v>
      </c>
      <c r="O12" s="10">
        <v>13.168347082187596</v>
      </c>
      <c r="P12" s="10">
        <v>13.896576839038602</v>
      </c>
    </row>
    <row r="13" spans="1:16" ht="12.75">
      <c r="A13" s="240" t="s">
        <v>36</v>
      </c>
      <c r="B13" s="240" t="s">
        <v>39</v>
      </c>
      <c r="C13" s="240"/>
      <c r="D13" s="40"/>
      <c r="E13" s="49" t="s">
        <v>249</v>
      </c>
      <c r="F13" s="9">
        <v>1394</v>
      </c>
      <c r="G13" s="9">
        <v>1324</v>
      </c>
      <c r="H13" s="9">
        <v>1327</v>
      </c>
      <c r="I13" s="9">
        <v>1068</v>
      </c>
      <c r="J13" s="9">
        <v>874</v>
      </c>
      <c r="K13" s="9">
        <v>932</v>
      </c>
      <c r="L13" s="9">
        <v>983</v>
      </c>
      <c r="M13" s="9">
        <v>960</v>
      </c>
      <c r="N13" s="9">
        <v>919</v>
      </c>
      <c r="O13" s="9">
        <v>882</v>
      </c>
      <c r="P13" s="9">
        <v>843</v>
      </c>
    </row>
    <row r="14" spans="1:16" ht="12.75">
      <c r="A14" s="240" t="s">
        <v>36</v>
      </c>
      <c r="B14" s="240" t="s">
        <v>39</v>
      </c>
      <c r="C14" s="240" t="s">
        <v>530</v>
      </c>
      <c r="D14" s="40"/>
      <c r="E14" s="49" t="s">
        <v>552</v>
      </c>
      <c r="F14" s="10">
        <v>40.2</v>
      </c>
      <c r="G14" s="10">
        <v>43.9</v>
      </c>
      <c r="H14" s="10">
        <v>63.3</v>
      </c>
      <c r="I14" s="10">
        <v>57.5</v>
      </c>
      <c r="J14" s="10">
        <v>82.8</v>
      </c>
      <c r="K14" s="10">
        <v>91.8</v>
      </c>
      <c r="L14" s="10">
        <v>61.4</v>
      </c>
      <c r="M14" s="10">
        <v>54.1</v>
      </c>
      <c r="N14" s="10">
        <v>70.4</v>
      </c>
      <c r="O14" s="10">
        <v>85.7</v>
      </c>
      <c r="P14" s="10">
        <v>108.1</v>
      </c>
    </row>
    <row r="15" spans="1:16" ht="12.75">
      <c r="A15" s="240" t="s">
        <v>36</v>
      </c>
      <c r="B15" s="240" t="s">
        <v>39</v>
      </c>
      <c r="C15" s="240"/>
      <c r="D15" s="40"/>
      <c r="E15" s="49" t="s">
        <v>302</v>
      </c>
      <c r="F15" s="9">
        <v>151</v>
      </c>
      <c r="G15" s="9">
        <v>96</v>
      </c>
      <c r="H15" s="9">
        <v>98</v>
      </c>
      <c r="I15" s="9">
        <v>107</v>
      </c>
      <c r="J15" s="9">
        <v>96</v>
      </c>
      <c r="K15" s="9">
        <v>287</v>
      </c>
      <c r="L15" s="9">
        <v>161</v>
      </c>
      <c r="M15" s="9">
        <v>76</v>
      </c>
      <c r="N15" s="9">
        <v>75</v>
      </c>
      <c r="O15" s="9">
        <v>98</v>
      </c>
      <c r="P15" s="9">
        <v>115</v>
      </c>
    </row>
    <row r="16" spans="1:16" ht="12.75">
      <c r="A16" s="240" t="s">
        <v>36</v>
      </c>
      <c r="B16" s="240" t="s">
        <v>39</v>
      </c>
      <c r="C16" s="240" t="s">
        <v>596</v>
      </c>
      <c r="D16" s="40"/>
      <c r="E16" s="49" t="s">
        <v>130</v>
      </c>
      <c r="F16" s="9">
        <v>3316</v>
      </c>
      <c r="G16" s="9">
        <v>3200</v>
      </c>
      <c r="H16" s="9">
        <v>3062</v>
      </c>
      <c r="I16" s="9">
        <v>2840</v>
      </c>
      <c r="J16" s="9">
        <v>2671</v>
      </c>
      <c r="K16" s="9">
        <v>2581</v>
      </c>
      <c r="L16" s="9">
        <v>2581</v>
      </c>
      <c r="M16" s="9">
        <v>2595</v>
      </c>
      <c r="N16" s="9">
        <v>2582</v>
      </c>
      <c r="O16" s="9">
        <v>2625</v>
      </c>
      <c r="P16" s="9">
        <v>2767</v>
      </c>
    </row>
    <row r="17" spans="1:3" ht="12.75">
      <c r="A17" s="240" t="s">
        <v>38</v>
      </c>
      <c r="B17" s="240"/>
      <c r="C17" s="240"/>
    </row>
    <row r="18" spans="1:5" ht="198">
      <c r="A18" s="240" t="s">
        <v>76</v>
      </c>
      <c r="B18" s="240"/>
      <c r="C18" s="240"/>
      <c r="E18" s="228" t="s">
        <v>521</v>
      </c>
    </row>
  </sheetData>
  <sheetProtection/>
  <printOptions/>
  <pageMargins left="0.75" right="0.75" top="1" bottom="1" header="0.5" footer="0.5"/>
  <pageSetup fitToHeight="1" fitToWidth="1"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dimension ref="A1:W102"/>
  <sheetViews>
    <sheetView zoomScaleSheetLayoutView="100" zoomScalePageLayoutView="0" workbookViewId="0" topLeftCell="F1">
      <selection activeCell="Z83" sqref="Z83"/>
    </sheetView>
  </sheetViews>
  <sheetFormatPr defaultColWidth="7.140625" defaultRowHeight="12.75"/>
  <cols>
    <col min="1" max="1" width="12.140625" style="252" bestFit="1" customWidth="1"/>
    <col min="2" max="2" width="12.140625" style="60" bestFit="1" customWidth="1"/>
    <col min="3" max="3" width="11.28125" style="60" bestFit="1" customWidth="1"/>
    <col min="4" max="4" width="23.421875" style="60" hidden="1" customWidth="1"/>
    <col min="5" max="5" width="30.8515625" style="60" customWidth="1"/>
    <col min="6" max="6" width="9.00390625" style="64" customWidth="1"/>
    <col min="7" max="14" width="9.00390625" style="60" customWidth="1"/>
    <col min="15" max="16" width="9.00390625" style="62" customWidth="1"/>
    <col min="17" max="17" width="9.00390625" style="60" customWidth="1"/>
    <col min="18" max="18" width="8.7109375" style="60" bestFit="1" customWidth="1"/>
    <col min="19" max="23" width="7.57421875" style="60" bestFit="1" customWidth="1"/>
    <col min="24" max="16384" width="7.140625" style="60" customWidth="1"/>
  </cols>
  <sheetData>
    <row r="1" spans="1:6" ht="15.75" customHeight="1">
      <c r="A1" s="249">
        <v>42735</v>
      </c>
      <c r="B1" s="97" t="s">
        <v>141</v>
      </c>
      <c r="C1" s="98"/>
      <c r="D1" s="150" t="str">
        <f>Company</f>
        <v>AB Electrolux</v>
      </c>
      <c r="E1" s="150" t="str">
        <f>Company</f>
        <v>AB Electrolux</v>
      </c>
      <c r="F1" s="60"/>
    </row>
    <row r="2" spans="1:6" ht="15.75" customHeight="1">
      <c r="A2" s="259"/>
      <c r="B2" s="97" t="s">
        <v>143</v>
      </c>
      <c r="C2" s="98"/>
      <c r="D2" s="115">
        <f>A1</f>
        <v>42735</v>
      </c>
      <c r="E2" s="151">
        <f>+'Income_statement-Y'!E2</f>
        <v>42004</v>
      </c>
      <c r="F2" s="60"/>
    </row>
    <row r="3" spans="1:8" ht="15.75" customHeight="1">
      <c r="A3" s="259"/>
      <c r="B3" s="97" t="s">
        <v>144</v>
      </c>
      <c r="C3" s="98" t="s">
        <v>145</v>
      </c>
      <c r="D3" s="152" t="s">
        <v>146</v>
      </c>
      <c r="E3" s="152" t="s">
        <v>147</v>
      </c>
      <c r="F3" s="60"/>
      <c r="H3" s="61"/>
    </row>
    <row r="4" spans="1:16" ht="15.75" customHeight="1">
      <c r="A4" s="252" t="s">
        <v>34</v>
      </c>
      <c r="B4" s="97" t="s">
        <v>148</v>
      </c>
      <c r="C4" s="58"/>
      <c r="D4" s="86" t="s">
        <v>330</v>
      </c>
      <c r="E4" s="86" t="s">
        <v>330</v>
      </c>
      <c r="F4" s="60"/>
      <c r="N4" s="62"/>
      <c r="P4" s="60"/>
    </row>
    <row r="5" spans="2:16" ht="15.75" customHeight="1">
      <c r="B5" s="97" t="s">
        <v>150</v>
      </c>
      <c r="C5" s="58"/>
      <c r="D5" s="58"/>
      <c r="E5" s="86"/>
      <c r="F5" s="77"/>
      <c r="G5" s="77"/>
      <c r="H5" s="77"/>
      <c r="I5" s="77"/>
      <c r="J5" s="105"/>
      <c r="K5" s="77"/>
      <c r="L5" s="77"/>
      <c r="M5" s="77"/>
      <c r="N5" s="77"/>
      <c r="O5" s="105"/>
      <c r="P5" s="77"/>
    </row>
    <row r="6" spans="1:23" s="31" customFormat="1" ht="15.75" customHeight="1">
      <c r="A6" s="245" t="s">
        <v>35</v>
      </c>
      <c r="B6" s="113" t="s">
        <v>149</v>
      </c>
      <c r="C6" s="156"/>
      <c r="D6" s="156"/>
      <c r="E6" s="137"/>
      <c r="F6" s="154">
        <v>1999</v>
      </c>
      <c r="G6" s="154">
        <v>2000</v>
      </c>
      <c r="H6" s="154">
        <v>2001</v>
      </c>
      <c r="I6" s="154">
        <v>2002</v>
      </c>
      <c r="J6" s="155">
        <v>2003</v>
      </c>
      <c r="K6" s="154">
        <v>2004</v>
      </c>
      <c r="L6" s="154">
        <v>2005</v>
      </c>
      <c r="M6" s="154">
        <v>2006</v>
      </c>
      <c r="N6" s="154">
        <v>2007</v>
      </c>
      <c r="O6" s="155">
        <v>2008</v>
      </c>
      <c r="P6" s="155">
        <v>2009</v>
      </c>
      <c r="Q6" s="155">
        <v>2010</v>
      </c>
      <c r="R6" s="155">
        <v>2011</v>
      </c>
      <c r="S6" s="155">
        <v>2012</v>
      </c>
      <c r="T6" s="155">
        <v>2013</v>
      </c>
      <c r="U6" s="155">
        <v>2014</v>
      </c>
      <c r="V6" s="155">
        <v>2015</v>
      </c>
      <c r="W6" s="298">
        <v>2016</v>
      </c>
    </row>
    <row r="7" spans="1:23" s="80" customFormat="1" ht="12.75">
      <c r="A7" s="260" t="s">
        <v>571</v>
      </c>
      <c r="B7" s="265"/>
      <c r="C7" s="265"/>
      <c r="D7" s="229"/>
      <c r="E7" s="80" t="s">
        <v>31</v>
      </c>
      <c r="F7" s="81"/>
      <c r="G7" s="81"/>
      <c r="H7" s="81"/>
      <c r="I7" s="81"/>
      <c r="J7" s="81"/>
      <c r="K7" s="81"/>
      <c r="L7" s="81"/>
      <c r="M7" s="81"/>
      <c r="N7" s="81"/>
      <c r="O7" s="230"/>
      <c r="P7" s="230"/>
      <c r="Q7" s="230"/>
      <c r="R7" s="230"/>
      <c r="S7" s="230"/>
      <c r="T7" s="230"/>
      <c r="U7" s="230"/>
      <c r="V7" s="230"/>
      <c r="W7" s="273"/>
    </row>
    <row r="8" spans="1:23" ht="12.75">
      <c r="A8" s="264" t="s">
        <v>35</v>
      </c>
      <c r="B8" s="252"/>
      <c r="C8" s="252"/>
      <c r="E8" s="59" t="s">
        <v>152</v>
      </c>
      <c r="F8" s="60"/>
      <c r="Q8" s="62"/>
      <c r="R8" s="62"/>
      <c r="S8" s="62"/>
      <c r="T8" s="62"/>
      <c r="U8" s="62"/>
      <c r="V8" s="62"/>
      <c r="W8" s="22"/>
    </row>
    <row r="9" spans="1:23" ht="12.75">
      <c r="A9" s="252" t="s">
        <v>36</v>
      </c>
      <c r="B9" s="257"/>
      <c r="C9" s="252"/>
      <c r="D9" s="171"/>
      <c r="E9" s="64" t="s">
        <v>155</v>
      </c>
      <c r="F9" s="13">
        <v>13758</v>
      </c>
      <c r="G9" s="13">
        <v>12127</v>
      </c>
      <c r="H9" s="13">
        <v>13075.7706</v>
      </c>
      <c r="I9" s="13">
        <v>11653.340400000001</v>
      </c>
      <c r="J9" s="13">
        <v>10777</v>
      </c>
      <c r="K9" s="13">
        <v>9660</v>
      </c>
      <c r="L9" s="13">
        <v>9220</v>
      </c>
      <c r="M9" s="13">
        <v>7610</v>
      </c>
      <c r="N9" s="13">
        <v>7020</v>
      </c>
      <c r="O9" s="13">
        <v>7392</v>
      </c>
      <c r="P9" s="13">
        <v>7435</v>
      </c>
      <c r="Q9" s="13">
        <v>5974</v>
      </c>
      <c r="R9" s="13">
        <v>5474</v>
      </c>
      <c r="S9" s="13">
        <v>5433.756241200001</v>
      </c>
      <c r="T9" s="13">
        <v>5385</v>
      </c>
      <c r="U9" s="13">
        <v>5944</v>
      </c>
      <c r="V9" s="13">
        <v>6511.6086355</v>
      </c>
      <c r="W9" s="22">
        <v>6515.7188136</v>
      </c>
    </row>
    <row r="10" spans="1:23" ht="12.75">
      <c r="A10" s="252" t="s">
        <v>36</v>
      </c>
      <c r="B10" s="257"/>
      <c r="C10" s="252"/>
      <c r="D10" s="231"/>
      <c r="E10" s="64" t="s">
        <v>158</v>
      </c>
      <c r="F10" s="13">
        <v>6892</v>
      </c>
      <c r="G10" s="13">
        <v>7198</v>
      </c>
      <c r="H10" s="13">
        <v>7441</v>
      </c>
      <c r="I10" s="13">
        <v>7270</v>
      </c>
      <c r="J10" s="13">
        <v>6610</v>
      </c>
      <c r="K10" s="13">
        <v>6536</v>
      </c>
      <c r="L10" s="13">
        <v>6071</v>
      </c>
      <c r="M10" s="13">
        <v>5158</v>
      </c>
      <c r="N10" s="13">
        <v>4950</v>
      </c>
      <c r="O10" s="13">
        <v>3782</v>
      </c>
      <c r="P10" s="13">
        <v>3259</v>
      </c>
      <c r="Q10" s="13">
        <v>2898</v>
      </c>
      <c r="R10" s="13">
        <v>2544</v>
      </c>
      <c r="S10" s="13">
        <v>2650.1423676</v>
      </c>
      <c r="T10" s="13">
        <v>2989</v>
      </c>
      <c r="U10" s="13">
        <v>3254</v>
      </c>
      <c r="V10" s="13">
        <v>4176.8619973</v>
      </c>
      <c r="W10" s="22">
        <v>4121.021520000001</v>
      </c>
    </row>
    <row r="11" spans="1:23" ht="12.75">
      <c r="A11" s="252" t="s">
        <v>36</v>
      </c>
      <c r="B11" s="257"/>
      <c r="C11" s="252"/>
      <c r="D11" s="171"/>
      <c r="E11" s="64" t="s">
        <v>157</v>
      </c>
      <c r="F11" s="13">
        <v>6169</v>
      </c>
      <c r="G11" s="13">
        <v>6603</v>
      </c>
      <c r="H11" s="13">
        <v>7039.900799999999</v>
      </c>
      <c r="I11" s="13">
        <v>6789.4917000000005</v>
      </c>
      <c r="J11" s="13">
        <v>6525</v>
      </c>
      <c r="K11" s="13">
        <v>6445</v>
      </c>
      <c r="L11" s="13">
        <v>6659</v>
      </c>
      <c r="M11" s="13">
        <v>5081</v>
      </c>
      <c r="N11" s="13">
        <v>4957</v>
      </c>
      <c r="O11" s="13">
        <v>4942</v>
      </c>
      <c r="P11" s="13">
        <v>5119</v>
      </c>
      <c r="Q11" s="13">
        <v>4223</v>
      </c>
      <c r="R11" s="13">
        <v>3809</v>
      </c>
      <c r="S11" s="13">
        <v>3630.6341767000004</v>
      </c>
      <c r="T11" s="13">
        <v>3481</v>
      </c>
      <c r="U11" s="13">
        <v>3836</v>
      </c>
      <c r="V11" s="13">
        <v>4031.4261127999994</v>
      </c>
      <c r="W11" s="22">
        <v>4141.1804694</v>
      </c>
    </row>
    <row r="12" spans="1:23" ht="12.75">
      <c r="A12" s="252" t="s">
        <v>36</v>
      </c>
      <c r="B12" s="257"/>
      <c r="C12" s="252"/>
      <c r="D12" s="171"/>
      <c r="E12" s="64" t="s">
        <v>153</v>
      </c>
      <c r="F12" s="13">
        <v>6827</v>
      </c>
      <c r="G12" s="13">
        <v>6610</v>
      </c>
      <c r="H12" s="13">
        <v>7248.6705</v>
      </c>
      <c r="I12" s="13">
        <v>6773.331</v>
      </c>
      <c r="J12" s="13">
        <v>6027</v>
      </c>
      <c r="K12" s="13">
        <v>5411</v>
      </c>
      <c r="L12" s="13">
        <v>5580</v>
      </c>
      <c r="M12" s="13">
        <v>5011</v>
      </c>
      <c r="N12" s="13">
        <v>5109</v>
      </c>
      <c r="O12" s="13">
        <v>4979</v>
      </c>
      <c r="P12" s="13">
        <v>5044</v>
      </c>
      <c r="Q12" s="13">
        <v>4609</v>
      </c>
      <c r="R12" s="13">
        <v>4092</v>
      </c>
      <c r="S12" s="13">
        <v>3407.3798243000006</v>
      </c>
      <c r="T12" s="13">
        <v>3208</v>
      </c>
      <c r="U12" s="13">
        <v>3403</v>
      </c>
      <c r="V12" s="13">
        <v>3642.0076474</v>
      </c>
      <c r="W12" s="22">
        <v>3821.9391247999993</v>
      </c>
    </row>
    <row r="13" spans="1:23" ht="12.75">
      <c r="A13" s="252" t="s">
        <v>36</v>
      </c>
      <c r="B13" s="257"/>
      <c r="C13" s="252"/>
      <c r="D13" s="171"/>
      <c r="E13" s="64" t="s">
        <v>154</v>
      </c>
      <c r="F13" s="13">
        <v>4422</v>
      </c>
      <c r="G13" s="13">
        <v>4464</v>
      </c>
      <c r="H13" s="13">
        <v>4518.3379</v>
      </c>
      <c r="I13" s="13">
        <v>4473.1573</v>
      </c>
      <c r="J13" s="13">
        <v>4307</v>
      </c>
      <c r="K13" s="13">
        <v>4293</v>
      </c>
      <c r="L13" s="13">
        <v>4592</v>
      </c>
      <c r="M13" s="13">
        <v>3681</v>
      </c>
      <c r="N13" s="13">
        <v>3814</v>
      </c>
      <c r="O13" s="13">
        <v>3559</v>
      </c>
      <c r="P13" s="13">
        <v>3399</v>
      </c>
      <c r="Q13" s="13">
        <v>3353</v>
      </c>
      <c r="R13" s="13">
        <v>4210</v>
      </c>
      <c r="S13" s="13">
        <v>3848.7432234000003</v>
      </c>
      <c r="T13" s="13">
        <v>3933</v>
      </c>
      <c r="U13" s="13">
        <v>4236</v>
      </c>
      <c r="V13" s="13">
        <v>4426.267476000001</v>
      </c>
      <c r="W13" s="22">
        <v>5294.004064999999</v>
      </c>
    </row>
    <row r="14" spans="1:23" ht="12.75">
      <c r="A14" s="252" t="s">
        <v>36</v>
      </c>
      <c r="B14" s="257"/>
      <c r="C14" s="252"/>
      <c r="D14" s="171"/>
      <c r="E14" s="64" t="s">
        <v>156</v>
      </c>
      <c r="F14" s="13">
        <v>2948</v>
      </c>
      <c r="G14" s="13">
        <v>2777</v>
      </c>
      <c r="H14" s="13">
        <v>2980.6954</v>
      </c>
      <c r="I14" s="13">
        <v>2868.2659</v>
      </c>
      <c r="J14" s="13">
        <v>3306</v>
      </c>
      <c r="K14" s="13">
        <v>3085</v>
      </c>
      <c r="L14" s="13">
        <v>3078</v>
      </c>
      <c r="M14" s="13">
        <v>2742</v>
      </c>
      <c r="N14" s="13">
        <v>2927</v>
      </c>
      <c r="O14" s="13">
        <v>2718</v>
      </c>
      <c r="P14" s="13">
        <v>2596</v>
      </c>
      <c r="Q14" s="13">
        <v>1992</v>
      </c>
      <c r="R14" s="13">
        <v>1386</v>
      </c>
      <c r="S14" s="13">
        <v>1225.6109965</v>
      </c>
      <c r="T14" s="13">
        <v>1057</v>
      </c>
      <c r="U14" s="13">
        <v>1213</v>
      </c>
      <c r="V14" s="13">
        <v>1331.3254182000003</v>
      </c>
      <c r="W14" s="22">
        <v>1447.4683370999999</v>
      </c>
    </row>
    <row r="15" spans="1:23" ht="12.75">
      <c r="A15" s="252" t="s">
        <v>36</v>
      </c>
      <c r="B15" s="257"/>
      <c r="C15" s="252"/>
      <c r="D15" s="171"/>
      <c r="E15" s="64" t="s">
        <v>160</v>
      </c>
      <c r="F15" s="13">
        <v>2174</v>
      </c>
      <c r="G15" s="13">
        <v>2012</v>
      </c>
      <c r="H15" s="13">
        <v>2213.8587</v>
      </c>
      <c r="I15" s="13">
        <v>2350.4193</v>
      </c>
      <c r="J15" s="13">
        <v>2283</v>
      </c>
      <c r="K15" s="13">
        <v>2309</v>
      </c>
      <c r="L15" s="13">
        <v>2465</v>
      </c>
      <c r="M15" s="13">
        <v>2143</v>
      </c>
      <c r="N15" s="13">
        <v>2122</v>
      </c>
      <c r="O15" s="13">
        <v>2373</v>
      </c>
      <c r="P15" s="13">
        <v>3266</v>
      </c>
      <c r="Q15" s="13">
        <v>3667</v>
      </c>
      <c r="R15" s="13">
        <v>4027</v>
      </c>
      <c r="S15" s="13">
        <v>4210.261402400001</v>
      </c>
      <c r="T15" s="13">
        <v>4255</v>
      </c>
      <c r="U15" s="13">
        <v>3799</v>
      </c>
      <c r="V15" s="13">
        <v>4342.957184899999</v>
      </c>
      <c r="W15" s="22">
        <v>3203.4891252</v>
      </c>
    </row>
    <row r="16" spans="1:23" ht="12.75">
      <c r="A16" s="252" t="s">
        <v>36</v>
      </c>
      <c r="B16" s="257"/>
      <c r="C16" s="252"/>
      <c r="D16" s="171"/>
      <c r="E16" s="64" t="s">
        <v>163</v>
      </c>
      <c r="F16" s="13">
        <v>2047</v>
      </c>
      <c r="G16" s="13">
        <v>1740</v>
      </c>
      <c r="H16" s="13">
        <v>2067</v>
      </c>
      <c r="I16" s="13">
        <v>1879</v>
      </c>
      <c r="J16" s="13">
        <v>1811</v>
      </c>
      <c r="K16" s="13">
        <v>1620</v>
      </c>
      <c r="L16" s="13">
        <v>1690</v>
      </c>
      <c r="M16" s="13">
        <v>1500</v>
      </c>
      <c r="N16" s="13">
        <v>1538</v>
      </c>
      <c r="O16" s="13">
        <v>1662</v>
      </c>
      <c r="P16" s="13">
        <v>1742</v>
      </c>
      <c r="Q16" s="13">
        <v>1494</v>
      </c>
      <c r="R16" s="13">
        <v>1244</v>
      </c>
      <c r="S16" s="13">
        <v>1226.0001877000002</v>
      </c>
      <c r="T16" s="13">
        <v>1162</v>
      </c>
      <c r="U16" s="13">
        <v>1293</v>
      </c>
      <c r="V16" s="13">
        <v>1469.2041159999999</v>
      </c>
      <c r="W16" s="22">
        <v>1551.3888597</v>
      </c>
    </row>
    <row r="17" spans="1:23" ht="12.75">
      <c r="A17" s="252" t="s">
        <v>36</v>
      </c>
      <c r="B17" s="257"/>
      <c r="C17" s="252"/>
      <c r="D17" s="171"/>
      <c r="E17" s="64" t="s">
        <v>166</v>
      </c>
      <c r="F17" s="13">
        <v>1892</v>
      </c>
      <c r="G17" s="13">
        <v>1820</v>
      </c>
      <c r="H17" s="13">
        <v>1906.5286999999998</v>
      </c>
      <c r="I17" s="13">
        <v>1881.4224</v>
      </c>
      <c r="J17" s="13">
        <v>1803</v>
      </c>
      <c r="K17" s="13">
        <v>1771</v>
      </c>
      <c r="L17" s="13">
        <v>1804</v>
      </c>
      <c r="M17" s="13">
        <v>1515</v>
      </c>
      <c r="N17" s="13">
        <v>1802</v>
      </c>
      <c r="O17" s="13">
        <v>1851</v>
      </c>
      <c r="P17" s="13">
        <v>1579</v>
      </c>
      <c r="Q17" s="13">
        <v>1529</v>
      </c>
      <c r="R17" s="13">
        <v>568</v>
      </c>
      <c r="S17" s="13">
        <v>576.2123347</v>
      </c>
      <c r="T17" s="13">
        <v>555</v>
      </c>
      <c r="U17" s="13">
        <v>452</v>
      </c>
      <c r="V17" s="13">
        <v>431.73303389999995</v>
      </c>
      <c r="W17" s="22">
        <v>436.447869</v>
      </c>
    </row>
    <row r="18" spans="1:23" ht="12.75">
      <c r="A18" s="252" t="s">
        <v>36</v>
      </c>
      <c r="B18" s="257"/>
      <c r="C18" s="252"/>
      <c r="D18" s="171"/>
      <c r="E18" s="64" t="s">
        <v>159</v>
      </c>
      <c r="F18" s="13">
        <v>2001</v>
      </c>
      <c r="G18" s="13">
        <v>1801</v>
      </c>
      <c r="H18" s="13">
        <v>1966.6868</v>
      </c>
      <c r="I18" s="13">
        <v>1901.8433</v>
      </c>
      <c r="J18" s="13">
        <v>1800</v>
      </c>
      <c r="K18" s="13">
        <v>1759</v>
      </c>
      <c r="L18" s="13">
        <v>1879</v>
      </c>
      <c r="M18" s="13">
        <v>1480</v>
      </c>
      <c r="N18" s="13">
        <v>1505</v>
      </c>
      <c r="O18" s="13">
        <v>1327</v>
      </c>
      <c r="P18" s="13">
        <v>1229</v>
      </c>
      <c r="Q18" s="13">
        <v>1051</v>
      </c>
      <c r="R18" s="13">
        <v>1000</v>
      </c>
      <c r="S18" s="13">
        <v>998.4623520000001</v>
      </c>
      <c r="T18" s="13">
        <v>950</v>
      </c>
      <c r="U18" s="13">
        <v>940</v>
      </c>
      <c r="V18" s="13">
        <v>1049.9575373</v>
      </c>
      <c r="W18" s="22">
        <v>1130.7165352999998</v>
      </c>
    </row>
    <row r="19" spans="1:23" ht="12.75">
      <c r="A19" s="252" t="s">
        <v>36</v>
      </c>
      <c r="B19" s="257"/>
      <c r="C19" s="252"/>
      <c r="D19" s="171"/>
      <c r="E19" s="64" t="s">
        <v>164</v>
      </c>
      <c r="F19" s="13">
        <v>1742</v>
      </c>
      <c r="G19" s="13">
        <v>1620</v>
      </c>
      <c r="H19" s="13">
        <v>1712.1914</v>
      </c>
      <c r="I19" s="13">
        <v>1581.6413</v>
      </c>
      <c r="J19" s="13">
        <v>1598</v>
      </c>
      <c r="K19" s="13">
        <v>1699</v>
      </c>
      <c r="L19" s="13">
        <v>1857</v>
      </c>
      <c r="M19" s="13">
        <v>1325</v>
      </c>
      <c r="N19" s="13">
        <v>1205</v>
      </c>
      <c r="O19" s="13">
        <v>1260</v>
      </c>
      <c r="P19" s="13">
        <v>1189</v>
      </c>
      <c r="Q19" s="13">
        <v>1164</v>
      </c>
      <c r="R19" s="13">
        <v>1147</v>
      </c>
      <c r="S19" s="13">
        <v>1153.8886602999999</v>
      </c>
      <c r="T19" s="13">
        <v>1126</v>
      </c>
      <c r="U19" s="13">
        <v>1146</v>
      </c>
      <c r="V19" s="13">
        <v>1189.6840478000001</v>
      </c>
      <c r="W19" s="22">
        <v>1217.1780915000002</v>
      </c>
    </row>
    <row r="20" spans="1:23" ht="12.75">
      <c r="A20" s="252" t="s">
        <v>36</v>
      </c>
      <c r="B20" s="257"/>
      <c r="C20" s="252"/>
      <c r="D20" s="171"/>
      <c r="E20" s="64" t="s">
        <v>161</v>
      </c>
      <c r="F20" s="13">
        <v>1235</v>
      </c>
      <c r="G20" s="13">
        <v>1081</v>
      </c>
      <c r="H20" s="13">
        <v>1217.7248</v>
      </c>
      <c r="I20" s="13">
        <v>1190.2753</v>
      </c>
      <c r="J20" s="13">
        <v>1234</v>
      </c>
      <c r="K20" s="13">
        <v>1271</v>
      </c>
      <c r="L20" s="13">
        <v>1397</v>
      </c>
      <c r="M20" s="13">
        <v>1255</v>
      </c>
      <c r="N20" s="13">
        <v>1319</v>
      </c>
      <c r="O20" s="13">
        <v>1402</v>
      </c>
      <c r="P20" s="13">
        <v>1530</v>
      </c>
      <c r="Q20" s="13">
        <v>1427</v>
      </c>
      <c r="R20" s="13">
        <v>1278</v>
      </c>
      <c r="S20" s="13">
        <v>1272.1950856</v>
      </c>
      <c r="T20" s="13">
        <v>1225</v>
      </c>
      <c r="U20" s="13">
        <v>1258</v>
      </c>
      <c r="V20" s="13">
        <v>1270.1288202999997</v>
      </c>
      <c r="W20" s="22">
        <v>1339.8697717</v>
      </c>
    </row>
    <row r="21" spans="1:23" ht="12.75">
      <c r="A21" s="252" t="s">
        <v>36</v>
      </c>
      <c r="B21" s="257"/>
      <c r="C21" s="252"/>
      <c r="D21" s="171"/>
      <c r="E21" s="64" t="s">
        <v>162</v>
      </c>
      <c r="F21" s="13">
        <v>1356</v>
      </c>
      <c r="G21" s="13">
        <v>1148</v>
      </c>
      <c r="H21" s="13">
        <v>1215.2323000000001</v>
      </c>
      <c r="I21" s="13">
        <v>1228.0625</v>
      </c>
      <c r="J21" s="13">
        <v>1227</v>
      </c>
      <c r="K21" s="13">
        <v>1156</v>
      </c>
      <c r="L21" s="13">
        <v>1197</v>
      </c>
      <c r="M21" s="13">
        <v>724</v>
      </c>
      <c r="N21" s="13">
        <v>722</v>
      </c>
      <c r="O21" s="13">
        <v>806</v>
      </c>
      <c r="P21" s="13">
        <v>937</v>
      </c>
      <c r="Q21" s="13">
        <v>780</v>
      </c>
      <c r="R21" s="13">
        <v>677</v>
      </c>
      <c r="S21" s="13">
        <v>684.8648601000001</v>
      </c>
      <c r="T21" s="13">
        <v>648</v>
      </c>
      <c r="U21" s="13">
        <v>780</v>
      </c>
      <c r="V21" s="13">
        <v>882.6278126999999</v>
      </c>
      <c r="W21" s="22">
        <v>876.8908737</v>
      </c>
    </row>
    <row r="22" spans="1:23" ht="12.75">
      <c r="A22" s="252" t="s">
        <v>36</v>
      </c>
      <c r="B22" s="257"/>
      <c r="C22" s="252"/>
      <c r="D22" s="171"/>
      <c r="E22" s="64" t="s">
        <v>167</v>
      </c>
      <c r="F22" s="13">
        <v>593</v>
      </c>
      <c r="G22" s="13">
        <v>629</v>
      </c>
      <c r="H22" s="13">
        <v>766</v>
      </c>
      <c r="I22" s="13">
        <v>818</v>
      </c>
      <c r="J22" s="13">
        <v>844</v>
      </c>
      <c r="K22" s="13">
        <v>809</v>
      </c>
      <c r="L22" s="13">
        <v>819</v>
      </c>
      <c r="M22" s="13">
        <v>737</v>
      </c>
      <c r="N22" s="13">
        <v>774</v>
      </c>
      <c r="O22" s="13">
        <v>642</v>
      </c>
      <c r="P22" s="13">
        <v>426</v>
      </c>
      <c r="Q22" s="13">
        <v>297</v>
      </c>
      <c r="R22" s="13">
        <v>275</v>
      </c>
      <c r="S22" s="13">
        <v>244.4976189</v>
      </c>
      <c r="T22" s="13">
        <v>273</v>
      </c>
      <c r="U22" s="13">
        <v>314</v>
      </c>
      <c r="V22" s="13">
        <v>357.79047110000005</v>
      </c>
      <c r="W22" s="22">
        <v>382.1818203</v>
      </c>
    </row>
    <row r="23" spans="1:23" ht="12.75">
      <c r="A23" s="252" t="s">
        <v>36</v>
      </c>
      <c r="B23" s="257"/>
      <c r="C23" s="252"/>
      <c r="D23" s="171"/>
      <c r="E23" s="64" t="s">
        <v>165</v>
      </c>
      <c r="F23" s="13">
        <v>477</v>
      </c>
      <c r="G23" s="13">
        <v>529</v>
      </c>
      <c r="H23" s="13">
        <v>632.4725</v>
      </c>
      <c r="I23" s="13">
        <v>615.3525999999999</v>
      </c>
      <c r="J23" s="13">
        <v>684</v>
      </c>
      <c r="K23" s="13">
        <v>705</v>
      </c>
      <c r="L23" s="13">
        <v>716</v>
      </c>
      <c r="M23" s="13">
        <v>597</v>
      </c>
      <c r="N23" s="13">
        <v>632</v>
      </c>
      <c r="O23" s="13">
        <v>652</v>
      </c>
      <c r="P23" s="13">
        <v>538</v>
      </c>
      <c r="Q23" s="13">
        <v>376</v>
      </c>
      <c r="R23" s="13">
        <v>275</v>
      </c>
      <c r="S23" s="13">
        <v>283.0662104</v>
      </c>
      <c r="T23" s="13">
        <v>265</v>
      </c>
      <c r="U23" s="13">
        <v>286</v>
      </c>
      <c r="V23" s="13">
        <v>269.45016749999996</v>
      </c>
      <c r="W23" s="22">
        <v>249.0524786</v>
      </c>
    </row>
    <row r="24" spans="1:23" ht="12.75">
      <c r="A24" s="252" t="s">
        <v>36</v>
      </c>
      <c r="B24" s="257"/>
      <c r="C24" s="252"/>
      <c r="D24" s="171"/>
      <c r="E24" s="64" t="s">
        <v>168</v>
      </c>
      <c r="F24" s="13">
        <v>444</v>
      </c>
      <c r="G24" s="13">
        <v>442</v>
      </c>
      <c r="H24" s="13">
        <v>508.7683</v>
      </c>
      <c r="I24" s="13">
        <v>577.7199</v>
      </c>
      <c r="J24" s="13">
        <v>591</v>
      </c>
      <c r="K24" s="13">
        <v>611</v>
      </c>
      <c r="L24" s="13">
        <v>621</v>
      </c>
      <c r="M24" s="13">
        <v>544</v>
      </c>
      <c r="N24" s="13">
        <v>617</v>
      </c>
      <c r="O24" s="13">
        <v>612</v>
      </c>
      <c r="P24" s="13">
        <v>535</v>
      </c>
      <c r="Q24" s="13">
        <v>468</v>
      </c>
      <c r="R24" s="13">
        <v>325</v>
      </c>
      <c r="S24" s="13">
        <v>279.11458419999997</v>
      </c>
      <c r="T24" s="13">
        <v>272</v>
      </c>
      <c r="U24" s="13">
        <v>291</v>
      </c>
      <c r="V24" s="13">
        <v>290.94003</v>
      </c>
      <c r="W24" s="22">
        <v>319.99985260000005</v>
      </c>
    </row>
    <row r="25" spans="1:23" ht="12.75">
      <c r="A25" s="252" t="s">
        <v>36</v>
      </c>
      <c r="B25" s="257"/>
      <c r="C25" s="252"/>
      <c r="D25" s="171"/>
      <c r="E25" s="64" t="s">
        <v>169</v>
      </c>
      <c r="F25" s="13">
        <v>124</v>
      </c>
      <c r="G25" s="13">
        <v>220</v>
      </c>
      <c r="H25" s="13">
        <v>248.4222</v>
      </c>
      <c r="I25" s="13">
        <v>176.6389</v>
      </c>
      <c r="J25" s="13">
        <v>168</v>
      </c>
      <c r="K25" s="13">
        <v>175</v>
      </c>
      <c r="L25" s="13">
        <v>182</v>
      </c>
      <c r="M25" s="13">
        <v>140</v>
      </c>
      <c r="N25" s="13">
        <v>146</v>
      </c>
      <c r="O25" s="13">
        <v>161</v>
      </c>
      <c r="P25" s="13">
        <v>174</v>
      </c>
      <c r="Q25" s="13">
        <v>155</v>
      </c>
      <c r="R25" s="13">
        <v>113</v>
      </c>
      <c r="S25" s="13">
        <v>111.502116</v>
      </c>
      <c r="T25" s="13">
        <v>119</v>
      </c>
      <c r="U25" s="13">
        <v>141</v>
      </c>
      <c r="V25" s="13">
        <v>161.9280971</v>
      </c>
      <c r="W25" s="22">
        <v>158.84532170000003</v>
      </c>
    </row>
    <row r="26" spans="1:23" ht="12.75">
      <c r="A26" s="252" t="s">
        <v>36</v>
      </c>
      <c r="B26" s="257"/>
      <c r="C26" s="252"/>
      <c r="D26" s="171"/>
      <c r="E26" s="64" t="s">
        <v>231</v>
      </c>
      <c r="F26" s="13"/>
      <c r="G26" s="13"/>
      <c r="H26" s="13"/>
      <c r="I26" s="13"/>
      <c r="J26" s="13"/>
      <c r="K26" s="13"/>
      <c r="L26" s="13"/>
      <c r="M26" s="13">
        <v>60</v>
      </c>
      <c r="N26" s="13">
        <v>62</v>
      </c>
      <c r="O26" s="13">
        <v>35</v>
      </c>
      <c r="P26" s="13">
        <f>28-1</f>
        <v>27</v>
      </c>
      <c r="Q26" s="13">
        <v>31</v>
      </c>
      <c r="R26" s="13">
        <v>30</v>
      </c>
      <c r="S26" s="13">
        <v>26.3651522</v>
      </c>
      <c r="T26" s="13">
        <v>33</v>
      </c>
      <c r="U26" s="13">
        <v>9</v>
      </c>
      <c r="V26" s="13">
        <v>6.0908724</v>
      </c>
      <c r="W26" s="22">
        <v>2.0032842</v>
      </c>
    </row>
    <row r="27" spans="1:23" s="62" customFormat="1" ht="12.75">
      <c r="A27" s="264" t="s">
        <v>27</v>
      </c>
      <c r="B27" s="264" t="s">
        <v>39</v>
      </c>
      <c r="C27" s="264"/>
      <c r="E27" s="59" t="s">
        <v>170</v>
      </c>
      <c r="F27" s="14">
        <f aca="true" t="shared" si="0" ref="F27:L27">SUM(F9:F25)</f>
        <v>55101</v>
      </c>
      <c r="G27" s="14">
        <f t="shared" si="0"/>
        <v>52821</v>
      </c>
      <c r="H27" s="14">
        <f t="shared" si="0"/>
        <v>56759.260900000016</v>
      </c>
      <c r="I27" s="14">
        <f t="shared" si="0"/>
        <v>54027.9618</v>
      </c>
      <c r="J27" s="14">
        <f t="shared" si="0"/>
        <v>51595</v>
      </c>
      <c r="K27" s="14">
        <f t="shared" si="0"/>
        <v>49315</v>
      </c>
      <c r="L27" s="14">
        <f t="shared" si="0"/>
        <v>49827</v>
      </c>
      <c r="M27" s="14">
        <f aca="true" t="shared" si="1" ref="M27:R27">SUM(M9:M26)</f>
        <v>41303</v>
      </c>
      <c r="N27" s="14">
        <f t="shared" si="1"/>
        <v>41221</v>
      </c>
      <c r="O27" s="14">
        <f t="shared" si="1"/>
        <v>40155</v>
      </c>
      <c r="P27" s="14">
        <f t="shared" si="1"/>
        <v>40024</v>
      </c>
      <c r="Q27" s="14">
        <f t="shared" si="1"/>
        <v>35488</v>
      </c>
      <c r="R27" s="14">
        <f t="shared" si="1"/>
        <v>32474</v>
      </c>
      <c r="S27" s="14">
        <f>SUM(S9:S26)</f>
        <v>31262.697394199997</v>
      </c>
      <c r="T27" s="14">
        <f>SUM(T9:T26)</f>
        <v>30936</v>
      </c>
      <c r="U27" s="14">
        <f>SUM(U9:U26)</f>
        <v>32595</v>
      </c>
      <c r="V27" s="14">
        <f>SUM(V9:V26)</f>
        <v>35841.98947819999</v>
      </c>
      <c r="W27" s="63">
        <v>36209.39621340001</v>
      </c>
    </row>
    <row r="28" spans="1:23" ht="12.75">
      <c r="A28" s="252" t="s">
        <v>38</v>
      </c>
      <c r="B28" s="252"/>
      <c r="C28" s="252"/>
      <c r="E28" s="64"/>
      <c r="F28" s="68"/>
      <c r="G28" s="68"/>
      <c r="H28" s="68"/>
      <c r="I28" s="68"/>
      <c r="J28" s="68"/>
      <c r="K28" s="68"/>
      <c r="L28" s="68"/>
      <c r="M28" s="68"/>
      <c r="N28" s="68"/>
      <c r="O28" s="68"/>
      <c r="P28" s="69"/>
      <c r="Q28" s="69"/>
      <c r="R28" s="69"/>
      <c r="S28" s="69"/>
      <c r="T28" s="69"/>
      <c r="U28" s="69"/>
      <c r="V28" s="69"/>
      <c r="W28" s="22"/>
    </row>
    <row r="29" spans="1:23" s="31" customFormat="1" ht="12.75">
      <c r="A29" s="245" t="s">
        <v>35</v>
      </c>
      <c r="B29" s="245"/>
      <c r="C29" s="245"/>
      <c r="E29" s="136" t="s">
        <v>171</v>
      </c>
      <c r="F29" s="87">
        <v>1999</v>
      </c>
      <c r="G29" s="87">
        <v>2000</v>
      </c>
      <c r="H29" s="87">
        <v>2001</v>
      </c>
      <c r="I29" s="87">
        <v>2002</v>
      </c>
      <c r="J29" s="87">
        <v>2003</v>
      </c>
      <c r="K29" s="87">
        <v>2004</v>
      </c>
      <c r="L29" s="87">
        <v>2005</v>
      </c>
      <c r="M29" s="87">
        <v>2006</v>
      </c>
      <c r="N29" s="87">
        <v>2007</v>
      </c>
      <c r="O29" s="87">
        <v>2008</v>
      </c>
      <c r="P29" s="87">
        <v>2009</v>
      </c>
      <c r="Q29" s="87">
        <v>2010</v>
      </c>
      <c r="R29" s="87">
        <v>2011</v>
      </c>
      <c r="S29" s="87">
        <v>2012</v>
      </c>
      <c r="T29" s="87">
        <f>+T6</f>
        <v>2013</v>
      </c>
      <c r="U29" s="87">
        <f>+U6</f>
        <v>2014</v>
      </c>
      <c r="V29" s="87">
        <f>+V6</f>
        <v>2015</v>
      </c>
      <c r="W29" s="298">
        <v>2016</v>
      </c>
    </row>
    <row r="30" spans="1:23" ht="12.75">
      <c r="A30" s="252" t="s">
        <v>36</v>
      </c>
      <c r="B30" s="252"/>
      <c r="C30" s="252"/>
      <c r="D30" s="171"/>
      <c r="E30" s="64" t="s">
        <v>174</v>
      </c>
      <c r="F30" s="13">
        <v>968</v>
      </c>
      <c r="G30" s="13">
        <v>986</v>
      </c>
      <c r="H30" s="13">
        <v>1280.0396</v>
      </c>
      <c r="I30" s="13">
        <v>1260.8273000000002</v>
      </c>
      <c r="J30" s="13">
        <v>1004</v>
      </c>
      <c r="K30" s="13">
        <v>953</v>
      </c>
      <c r="L30" s="13">
        <v>1261</v>
      </c>
      <c r="M30" s="13">
        <v>1014</v>
      </c>
      <c r="N30" s="13">
        <v>1258</v>
      </c>
      <c r="O30" s="13">
        <v>1648</v>
      </c>
      <c r="P30" s="13">
        <v>1397</v>
      </c>
      <c r="Q30" s="13">
        <v>1506</v>
      </c>
      <c r="R30" s="13">
        <v>1468</v>
      </c>
      <c r="S30" s="13">
        <v>1493.6674296999997</v>
      </c>
      <c r="T30" s="13">
        <v>1267</v>
      </c>
      <c r="U30" s="13">
        <v>1309</v>
      </c>
      <c r="V30" s="13">
        <v>1442.4374323999998</v>
      </c>
      <c r="W30" s="22">
        <v>1570.7123542999998</v>
      </c>
    </row>
    <row r="31" spans="1:23" ht="12.75">
      <c r="A31" s="252" t="s">
        <v>36</v>
      </c>
      <c r="B31" s="252"/>
      <c r="C31" s="252"/>
      <c r="D31" s="171"/>
      <c r="E31" s="64" t="s">
        <v>176</v>
      </c>
      <c r="F31" s="13">
        <v>607</v>
      </c>
      <c r="G31" s="13">
        <v>804</v>
      </c>
      <c r="H31" s="13">
        <v>1253.7096999999999</v>
      </c>
      <c r="I31" s="13">
        <v>1722.324</v>
      </c>
      <c r="J31" s="13">
        <v>2093</v>
      </c>
      <c r="K31" s="13">
        <v>2211</v>
      </c>
      <c r="L31" s="13">
        <v>2834</v>
      </c>
      <c r="M31" s="13">
        <v>2337</v>
      </c>
      <c r="N31" s="13">
        <v>2708</v>
      </c>
      <c r="O31" s="13">
        <v>2694</v>
      </c>
      <c r="P31" s="13">
        <v>1943</v>
      </c>
      <c r="Q31" s="13">
        <v>2138</v>
      </c>
      <c r="R31" s="13">
        <v>2042</v>
      </c>
      <c r="S31" s="13">
        <v>2026.0530735</v>
      </c>
      <c r="T31" s="13">
        <v>1860</v>
      </c>
      <c r="U31" s="13">
        <v>1478</v>
      </c>
      <c r="V31" s="13">
        <v>1051.2016465</v>
      </c>
      <c r="W31" s="22">
        <v>1295.1863011</v>
      </c>
    </row>
    <row r="32" spans="1:23" ht="12.75">
      <c r="A32" s="252" t="s">
        <v>36</v>
      </c>
      <c r="B32" s="252"/>
      <c r="C32" s="252"/>
      <c r="D32" s="171"/>
      <c r="E32" s="64" t="s">
        <v>175</v>
      </c>
      <c r="F32" s="13">
        <v>755</v>
      </c>
      <c r="G32" s="13">
        <v>737</v>
      </c>
      <c r="H32" s="13">
        <v>913</v>
      </c>
      <c r="I32" s="13">
        <v>1040</v>
      </c>
      <c r="J32" s="13">
        <v>1014</v>
      </c>
      <c r="K32" s="13">
        <v>1005</v>
      </c>
      <c r="L32" s="13">
        <v>1095</v>
      </c>
      <c r="M32" s="13">
        <v>982</v>
      </c>
      <c r="N32" s="13">
        <v>1074</v>
      </c>
      <c r="O32" s="13">
        <v>1150</v>
      </c>
      <c r="P32" s="13">
        <v>883</v>
      </c>
      <c r="Q32" s="13">
        <v>737</v>
      </c>
      <c r="R32" s="13">
        <v>681</v>
      </c>
      <c r="S32" s="13">
        <v>642.6206971999999</v>
      </c>
      <c r="T32" s="13">
        <v>633</v>
      </c>
      <c r="U32" s="13">
        <v>697</v>
      </c>
      <c r="V32" s="13">
        <v>799.8289514000002</v>
      </c>
      <c r="W32" s="22">
        <v>924.422867</v>
      </c>
    </row>
    <row r="33" spans="1:23" ht="12.75">
      <c r="A33" s="252" t="s">
        <v>36</v>
      </c>
      <c r="B33" s="252"/>
      <c r="C33" s="252"/>
      <c r="D33" s="171"/>
      <c r="E33" s="64" t="s">
        <v>172</v>
      </c>
      <c r="F33" s="13">
        <v>686</v>
      </c>
      <c r="G33" s="13">
        <v>726</v>
      </c>
      <c r="H33" s="13">
        <v>915.8240999999999</v>
      </c>
      <c r="I33" s="13">
        <v>1056.5443</v>
      </c>
      <c r="J33" s="13">
        <v>1020</v>
      </c>
      <c r="K33" s="13">
        <v>906</v>
      </c>
      <c r="L33" s="13">
        <v>906</v>
      </c>
      <c r="M33" s="13">
        <v>857</v>
      </c>
      <c r="N33" s="13">
        <v>915</v>
      </c>
      <c r="O33" s="13">
        <v>837</v>
      </c>
      <c r="P33" s="13">
        <v>683</v>
      </c>
      <c r="Q33" s="13">
        <v>606</v>
      </c>
      <c r="R33" s="13">
        <v>545</v>
      </c>
      <c r="S33" s="13">
        <v>489.57510069999995</v>
      </c>
      <c r="T33" s="13">
        <v>539</v>
      </c>
      <c r="U33" s="13">
        <v>565</v>
      </c>
      <c r="V33" s="13">
        <v>641.3255798999999</v>
      </c>
      <c r="W33" s="22">
        <v>686.1891361</v>
      </c>
    </row>
    <row r="34" spans="1:23" ht="12.75">
      <c r="A34" s="252" t="s">
        <v>36</v>
      </c>
      <c r="B34" s="252"/>
      <c r="C34" s="252"/>
      <c r="D34" s="171"/>
      <c r="E34" s="64" t="s">
        <v>178</v>
      </c>
      <c r="F34" s="13">
        <v>436</v>
      </c>
      <c r="G34" s="13">
        <v>535</v>
      </c>
      <c r="H34" s="13">
        <v>299.9875</v>
      </c>
      <c r="I34" s="13">
        <v>252.545</v>
      </c>
      <c r="J34" s="13">
        <v>231</v>
      </c>
      <c r="K34" s="13">
        <v>422</v>
      </c>
      <c r="L34" s="13">
        <v>491</v>
      </c>
      <c r="M34" s="13">
        <v>410</v>
      </c>
      <c r="N34" s="13">
        <v>514</v>
      </c>
      <c r="O34" s="13">
        <v>465</v>
      </c>
      <c r="P34" s="13">
        <v>272</v>
      </c>
      <c r="Q34" s="13">
        <v>314</v>
      </c>
      <c r="R34" s="13">
        <v>308</v>
      </c>
      <c r="S34" s="13">
        <v>273.7076751000001</v>
      </c>
      <c r="T34" s="13">
        <v>454</v>
      </c>
      <c r="U34" s="13">
        <v>424</v>
      </c>
      <c r="V34" s="13">
        <v>438.0918798</v>
      </c>
      <c r="W34" s="22">
        <v>388.8902005</v>
      </c>
    </row>
    <row r="35" spans="1:23" ht="12.75">
      <c r="A35" s="252" t="s">
        <v>36</v>
      </c>
      <c r="B35" s="252"/>
      <c r="C35" s="252"/>
      <c r="D35" s="171"/>
      <c r="E35" s="64" t="s">
        <v>177</v>
      </c>
      <c r="F35" s="13">
        <v>346</v>
      </c>
      <c r="G35" s="13">
        <v>320</v>
      </c>
      <c r="H35" s="13">
        <v>282</v>
      </c>
      <c r="I35" s="13">
        <v>363</v>
      </c>
      <c r="J35" s="13">
        <v>376</v>
      </c>
      <c r="K35" s="13">
        <f>139+170+146</f>
        <v>455</v>
      </c>
      <c r="L35" s="13">
        <v>623</v>
      </c>
      <c r="M35" s="13">
        <v>410</v>
      </c>
      <c r="N35" s="13">
        <v>507</v>
      </c>
      <c r="O35" s="13">
        <v>504</v>
      </c>
      <c r="P35" s="13">
        <f>113+102+169</f>
        <v>384</v>
      </c>
      <c r="Q35" s="13">
        <v>438</v>
      </c>
      <c r="R35" s="13">
        <v>470</v>
      </c>
      <c r="S35" s="13">
        <v>560.0631908</v>
      </c>
      <c r="T35" s="13">
        <v>598</v>
      </c>
      <c r="U35" s="13">
        <v>560</v>
      </c>
      <c r="V35" s="13">
        <v>509.6103876</v>
      </c>
      <c r="W35" s="22">
        <v>539.6210535</v>
      </c>
    </row>
    <row r="36" spans="1:23" ht="12.75">
      <c r="A36" s="252" t="s">
        <v>36</v>
      </c>
      <c r="B36" s="252"/>
      <c r="C36" s="252"/>
      <c r="D36" s="171"/>
      <c r="E36" s="64" t="s">
        <v>173</v>
      </c>
      <c r="F36" s="13">
        <v>246</v>
      </c>
      <c r="G36" s="13">
        <v>295</v>
      </c>
      <c r="H36" s="13">
        <v>337</v>
      </c>
      <c r="I36" s="13">
        <v>419</v>
      </c>
      <c r="J36" s="13">
        <v>644</v>
      </c>
      <c r="K36" s="13">
        <v>535</v>
      </c>
      <c r="L36" s="13">
        <v>627</v>
      </c>
      <c r="M36" s="13">
        <v>479</v>
      </c>
      <c r="N36" s="13">
        <v>669</v>
      </c>
      <c r="O36" s="13">
        <v>627</v>
      </c>
      <c r="P36" s="13">
        <v>432</v>
      </c>
      <c r="Q36" s="13">
        <v>374</v>
      </c>
      <c r="R36" s="13">
        <v>357</v>
      </c>
      <c r="S36" s="13">
        <v>306.25990170000006</v>
      </c>
      <c r="T36" s="13">
        <v>317</v>
      </c>
      <c r="U36" s="13">
        <v>299</v>
      </c>
      <c r="V36" s="13">
        <v>313.4665945</v>
      </c>
      <c r="W36" s="22">
        <v>381.26031659999995</v>
      </c>
    </row>
    <row r="37" spans="1:23" ht="12.75">
      <c r="A37" s="252" t="s">
        <v>36</v>
      </c>
      <c r="B37" s="252"/>
      <c r="C37" s="252"/>
      <c r="D37" s="171"/>
      <c r="E37" s="64" t="s">
        <v>179</v>
      </c>
      <c r="F37" s="13">
        <v>222</v>
      </c>
      <c r="G37" s="13">
        <v>288</v>
      </c>
      <c r="H37" s="13">
        <v>364.7106</v>
      </c>
      <c r="I37" s="13">
        <v>333.3147</v>
      </c>
      <c r="J37" s="13">
        <v>299</v>
      </c>
      <c r="K37" s="13">
        <v>331</v>
      </c>
      <c r="L37" s="13">
        <v>383</v>
      </c>
      <c r="M37" s="13">
        <v>358</v>
      </c>
      <c r="N37" s="13">
        <v>418</v>
      </c>
      <c r="O37" s="13">
        <v>464</v>
      </c>
      <c r="P37" s="13">
        <v>341</v>
      </c>
      <c r="Q37" s="13">
        <v>313</v>
      </c>
      <c r="R37" s="13">
        <v>292</v>
      </c>
      <c r="S37" s="13">
        <v>285.06783640000003</v>
      </c>
      <c r="T37" s="13">
        <v>274</v>
      </c>
      <c r="U37" s="13">
        <v>323</v>
      </c>
      <c r="V37" s="13">
        <v>339.67643400000003</v>
      </c>
      <c r="W37" s="22">
        <v>344.2480653</v>
      </c>
    </row>
    <row r="38" spans="1:23" ht="12.75">
      <c r="A38" s="252" t="s">
        <v>36</v>
      </c>
      <c r="B38" s="252"/>
      <c r="C38" s="252"/>
      <c r="D38" s="171"/>
      <c r="E38" s="64" t="s">
        <v>181</v>
      </c>
      <c r="F38" s="13">
        <v>203</v>
      </c>
      <c r="G38" s="13">
        <v>199</v>
      </c>
      <c r="H38" s="13">
        <v>299.1223</v>
      </c>
      <c r="I38" s="13">
        <v>223.8414</v>
      </c>
      <c r="J38" s="13">
        <v>161</v>
      </c>
      <c r="K38" s="13">
        <v>161</v>
      </c>
      <c r="L38" s="13">
        <v>176</v>
      </c>
      <c r="M38" s="13">
        <v>127</v>
      </c>
      <c r="N38" s="13">
        <v>126</v>
      </c>
      <c r="O38" s="13">
        <v>143</v>
      </c>
      <c r="P38" s="13">
        <v>127</v>
      </c>
      <c r="Q38" s="13">
        <v>114</v>
      </c>
      <c r="R38" s="13">
        <v>99</v>
      </c>
      <c r="S38" s="13">
        <v>86.49247779999999</v>
      </c>
      <c r="T38" s="13">
        <v>86</v>
      </c>
      <c r="U38" s="13">
        <v>74</v>
      </c>
      <c r="V38" s="13">
        <v>61.270163999999994</v>
      </c>
      <c r="W38" s="22">
        <v>84.3265657</v>
      </c>
    </row>
    <row r="39" spans="1:23" ht="12.75">
      <c r="A39" s="252" t="s">
        <v>36</v>
      </c>
      <c r="B39" s="252"/>
      <c r="C39" s="252"/>
      <c r="D39" s="171"/>
      <c r="E39" s="64" t="s">
        <v>182</v>
      </c>
      <c r="F39" s="13">
        <v>63</v>
      </c>
      <c r="G39" s="13">
        <v>55</v>
      </c>
      <c r="H39" s="13">
        <v>106.7171</v>
      </c>
      <c r="I39" s="13">
        <v>183.4784</v>
      </c>
      <c r="J39" s="13">
        <v>193</v>
      </c>
      <c r="K39" s="13">
        <v>311</v>
      </c>
      <c r="L39" s="13">
        <v>416</v>
      </c>
      <c r="M39" s="13">
        <v>493</v>
      </c>
      <c r="N39" s="13">
        <v>648</v>
      </c>
      <c r="O39" s="13">
        <v>633</v>
      </c>
      <c r="P39" s="13">
        <v>233</v>
      </c>
      <c r="Q39" s="13">
        <v>301</v>
      </c>
      <c r="R39" s="13">
        <v>320</v>
      </c>
      <c r="S39" s="13">
        <v>298.39951290000005</v>
      </c>
      <c r="T39" s="13">
        <v>391</v>
      </c>
      <c r="U39" s="13">
        <v>401</v>
      </c>
      <c r="V39" s="13">
        <v>328.644924</v>
      </c>
      <c r="W39" s="22">
        <v>389.5517963</v>
      </c>
    </row>
    <row r="40" spans="1:23" ht="12.75">
      <c r="A40" s="252" t="s">
        <v>36</v>
      </c>
      <c r="B40" s="252"/>
      <c r="C40" s="252"/>
      <c r="D40" s="171"/>
      <c r="E40" s="64" t="s">
        <v>180</v>
      </c>
      <c r="F40" s="13">
        <v>58</v>
      </c>
      <c r="G40" s="13">
        <v>46</v>
      </c>
      <c r="H40" s="13">
        <v>59.8918</v>
      </c>
      <c r="I40" s="13">
        <v>88.45689999999999</v>
      </c>
      <c r="J40" s="13">
        <v>101</v>
      </c>
      <c r="K40" s="13">
        <v>110</v>
      </c>
      <c r="L40" s="13">
        <v>210</v>
      </c>
      <c r="M40" s="13">
        <v>212</v>
      </c>
      <c r="N40" s="13">
        <v>248</v>
      </c>
      <c r="O40" s="13">
        <v>224</v>
      </c>
      <c r="P40" s="13">
        <v>261</v>
      </c>
      <c r="Q40" s="13">
        <v>202</v>
      </c>
      <c r="R40" s="13">
        <v>167</v>
      </c>
      <c r="S40" s="13">
        <v>178.678598</v>
      </c>
      <c r="T40" s="13">
        <v>144</v>
      </c>
      <c r="U40" s="13">
        <v>138</v>
      </c>
      <c r="V40" s="13">
        <v>117.0253467</v>
      </c>
      <c r="W40" s="22">
        <v>120.79185670000001</v>
      </c>
    </row>
    <row r="41" spans="1:23" ht="12.75">
      <c r="A41" s="252" t="s">
        <v>36</v>
      </c>
      <c r="B41" s="252"/>
      <c r="C41" s="252"/>
      <c r="D41" s="171"/>
      <c r="E41" s="64" t="s">
        <v>93</v>
      </c>
      <c r="F41" s="13">
        <v>284</v>
      </c>
      <c r="G41" s="13">
        <v>304</v>
      </c>
      <c r="H41" s="13">
        <v>520</v>
      </c>
      <c r="I41" s="13">
        <v>601</v>
      </c>
      <c r="J41" s="13">
        <f>429+49+92+89-1</f>
        <v>658</v>
      </c>
      <c r="K41" s="13">
        <f>13+23+37+207+51+4+120+55+1</f>
        <v>511</v>
      </c>
      <c r="L41" s="13">
        <v>507</v>
      </c>
      <c r="M41" s="13">
        <v>390</v>
      </c>
      <c r="N41" s="13">
        <v>508</v>
      </c>
      <c r="O41" s="13">
        <v>521</v>
      </c>
      <c r="P41" s="13">
        <f>7454-SUM(P30:P40)</f>
        <v>498</v>
      </c>
      <c r="Q41" s="13">
        <f>7589-SUM(Q30:Q40)</f>
        <v>546</v>
      </c>
      <c r="R41" s="13">
        <f>7134-SUM(R30:R40)</f>
        <v>385</v>
      </c>
      <c r="S41" s="13">
        <v>250</v>
      </c>
      <c r="T41" s="13">
        <v>273</v>
      </c>
      <c r="U41" s="13">
        <v>273</v>
      </c>
      <c r="V41" s="13">
        <v>293.7661647</v>
      </c>
      <c r="W41" s="22">
        <v>335.38207269999987</v>
      </c>
    </row>
    <row r="42" spans="1:23" s="62" customFormat="1" ht="12.75">
      <c r="A42" s="264" t="s">
        <v>27</v>
      </c>
      <c r="B42" s="264" t="s">
        <v>39</v>
      </c>
      <c r="C42" s="264"/>
      <c r="D42" s="59"/>
      <c r="E42" s="59" t="s">
        <v>184</v>
      </c>
      <c r="F42" s="14">
        <f aca="true" t="shared" si="2" ref="F42:Q42">SUM(F30:F41)</f>
        <v>4874</v>
      </c>
      <c r="G42" s="14">
        <f t="shared" si="2"/>
        <v>5295</v>
      </c>
      <c r="H42" s="14">
        <f t="shared" si="2"/>
        <v>6632.002700000001</v>
      </c>
      <c r="I42" s="14">
        <f t="shared" si="2"/>
        <v>7544.332000000001</v>
      </c>
      <c r="J42" s="14">
        <f t="shared" si="2"/>
        <v>7794</v>
      </c>
      <c r="K42" s="14">
        <f t="shared" si="2"/>
        <v>7911</v>
      </c>
      <c r="L42" s="14">
        <f t="shared" si="2"/>
        <v>9529</v>
      </c>
      <c r="M42" s="14">
        <f t="shared" si="2"/>
        <v>8069</v>
      </c>
      <c r="N42" s="14">
        <f t="shared" si="2"/>
        <v>9593</v>
      </c>
      <c r="O42" s="14">
        <f t="shared" si="2"/>
        <v>9910</v>
      </c>
      <c r="P42" s="14">
        <f t="shared" si="2"/>
        <v>7454</v>
      </c>
      <c r="Q42" s="14">
        <f t="shared" si="2"/>
        <v>7589</v>
      </c>
      <c r="R42" s="14">
        <f>SUM(R30:R41)</f>
        <v>7134</v>
      </c>
      <c r="S42" s="14">
        <f>SUM(S30:S41)</f>
        <v>6890.585493800002</v>
      </c>
      <c r="T42" s="14">
        <f>SUM(T30:T41)</f>
        <v>6836</v>
      </c>
      <c r="U42" s="14">
        <f>SUM(U30:U41)</f>
        <v>6541</v>
      </c>
      <c r="V42" s="14">
        <f>SUM(V30:V41)</f>
        <v>6336.3455054999995</v>
      </c>
      <c r="W42" s="63">
        <v>7060.5825858</v>
      </c>
    </row>
    <row r="43" spans="1:23" s="62" customFormat="1" ht="12.75">
      <c r="A43" s="264" t="s">
        <v>27</v>
      </c>
      <c r="B43" s="264" t="s">
        <v>39</v>
      </c>
      <c r="C43" s="264"/>
      <c r="E43" s="59" t="s">
        <v>185</v>
      </c>
      <c r="F43" s="14">
        <f aca="true" t="shared" si="3" ref="F43:L43">F42+F27</f>
        <v>59975</v>
      </c>
      <c r="G43" s="14">
        <f t="shared" si="3"/>
        <v>58116</v>
      </c>
      <c r="H43" s="14">
        <f t="shared" si="3"/>
        <v>63391.26360000002</v>
      </c>
      <c r="I43" s="14">
        <f t="shared" si="3"/>
        <v>61572.2938</v>
      </c>
      <c r="J43" s="14">
        <f t="shared" si="3"/>
        <v>59389</v>
      </c>
      <c r="K43" s="14">
        <f t="shared" si="3"/>
        <v>57226</v>
      </c>
      <c r="L43" s="14">
        <f t="shared" si="3"/>
        <v>59356</v>
      </c>
      <c r="M43" s="14">
        <f aca="true" t="shared" si="4" ref="M43:R43">+M27+M42</f>
        <v>49372</v>
      </c>
      <c r="N43" s="14">
        <f t="shared" si="4"/>
        <v>50814</v>
      </c>
      <c r="O43" s="14">
        <f t="shared" si="4"/>
        <v>50065</v>
      </c>
      <c r="P43" s="14">
        <f t="shared" si="4"/>
        <v>47478</v>
      </c>
      <c r="Q43" s="14">
        <f t="shared" si="4"/>
        <v>43077</v>
      </c>
      <c r="R43" s="14">
        <f t="shared" si="4"/>
        <v>39608</v>
      </c>
      <c r="S43" s="14">
        <f>+S27+S42</f>
        <v>38153.282888</v>
      </c>
      <c r="T43" s="14">
        <f>+T27+T42</f>
        <v>37772</v>
      </c>
      <c r="U43" s="14">
        <f>+U27+U42</f>
        <v>39136</v>
      </c>
      <c r="V43" s="14">
        <f>+V27+V42</f>
        <v>42178.33498369999</v>
      </c>
      <c r="W43" s="63">
        <v>43269.97879920001</v>
      </c>
    </row>
    <row r="44" spans="1:23" ht="12.75">
      <c r="A44" s="252" t="s">
        <v>38</v>
      </c>
      <c r="B44" s="252"/>
      <c r="C44" s="252"/>
      <c r="E44" s="64"/>
      <c r="F44" s="68"/>
      <c r="G44" s="68"/>
      <c r="H44" s="68"/>
      <c r="I44" s="82"/>
      <c r="J44" s="82"/>
      <c r="K44" s="82"/>
      <c r="L44" s="82"/>
      <c r="M44" s="82"/>
      <c r="N44" s="82"/>
      <c r="O44" s="82"/>
      <c r="P44" s="83"/>
      <c r="Q44" s="83"/>
      <c r="R44" s="83"/>
      <c r="S44" s="83"/>
      <c r="T44" s="83"/>
      <c r="U44" s="83"/>
      <c r="V44" s="83"/>
      <c r="W44" s="22"/>
    </row>
    <row r="45" spans="1:23" s="31" customFormat="1" ht="12.75">
      <c r="A45" s="245" t="s">
        <v>35</v>
      </c>
      <c r="B45" s="245"/>
      <c r="C45" s="245"/>
      <c r="E45" s="136" t="s">
        <v>186</v>
      </c>
      <c r="F45" s="87">
        <v>1999</v>
      </c>
      <c r="G45" s="87">
        <v>2000</v>
      </c>
      <c r="H45" s="87">
        <v>2001</v>
      </c>
      <c r="I45" s="87">
        <v>2002</v>
      </c>
      <c r="J45" s="87">
        <v>2003</v>
      </c>
      <c r="K45" s="87">
        <v>2004</v>
      </c>
      <c r="L45" s="87">
        <v>2005</v>
      </c>
      <c r="M45" s="87">
        <v>2006</v>
      </c>
      <c r="N45" s="87">
        <v>2007</v>
      </c>
      <c r="O45" s="87">
        <v>2008</v>
      </c>
      <c r="P45" s="87">
        <v>2009</v>
      </c>
      <c r="Q45" s="87">
        <v>2010</v>
      </c>
      <c r="R45" s="87">
        <v>2011</v>
      </c>
      <c r="S45" s="87">
        <v>2012</v>
      </c>
      <c r="T45" s="87">
        <f>+T6</f>
        <v>2013</v>
      </c>
      <c r="U45" s="87">
        <f>+U6</f>
        <v>2014</v>
      </c>
      <c r="V45" s="87">
        <f>+V6</f>
        <v>2015</v>
      </c>
      <c r="W45" s="269">
        <v>2016</v>
      </c>
    </row>
    <row r="46" spans="1:23" ht="12.75">
      <c r="A46" s="252" t="s">
        <v>36</v>
      </c>
      <c r="B46" s="252"/>
      <c r="C46" s="252"/>
      <c r="E46" s="64" t="s">
        <v>187</v>
      </c>
      <c r="F46" s="84">
        <v>43759</v>
      </c>
      <c r="G46" s="84">
        <v>48271</v>
      </c>
      <c r="H46" s="84">
        <v>48269</v>
      </c>
      <c r="I46" s="13">
        <v>48370</v>
      </c>
      <c r="J46" s="13">
        <v>44469</v>
      </c>
      <c r="K46" s="13">
        <v>42382</v>
      </c>
      <c r="L46" s="13">
        <v>46208</v>
      </c>
      <c r="M46" s="13">
        <f>31703+271</f>
        <v>31974</v>
      </c>
      <c r="N46" s="13">
        <v>29571</v>
      </c>
      <c r="O46" s="13">
        <v>28610</v>
      </c>
      <c r="P46" s="13">
        <v>31725</v>
      </c>
      <c r="Q46" s="13">
        <v>29782</v>
      </c>
      <c r="R46" s="13">
        <v>26637</v>
      </c>
      <c r="S46" s="13">
        <v>29631.8366705</v>
      </c>
      <c r="T46" s="13">
        <v>31006</v>
      </c>
      <c r="U46" s="13">
        <v>32885</v>
      </c>
      <c r="V46" s="13">
        <v>41645.1453546</v>
      </c>
      <c r="W46" s="22">
        <v>41820.5361306</v>
      </c>
    </row>
    <row r="47" spans="1:23" ht="12.75">
      <c r="A47" s="252" t="s">
        <v>36</v>
      </c>
      <c r="B47" s="252"/>
      <c r="C47" s="252"/>
      <c r="E47" s="64" t="s">
        <v>188</v>
      </c>
      <c r="F47" s="84">
        <v>3916</v>
      </c>
      <c r="G47" s="84">
        <v>4635</v>
      </c>
      <c r="H47" s="84">
        <v>4638.4537</v>
      </c>
      <c r="I47" s="13">
        <v>4655.733200000001</v>
      </c>
      <c r="J47" s="13">
        <v>4703</v>
      </c>
      <c r="K47" s="13">
        <v>4907</v>
      </c>
      <c r="L47" s="13">
        <v>5639</v>
      </c>
      <c r="M47" s="13">
        <v>4724</v>
      </c>
      <c r="N47" s="13">
        <v>4577</v>
      </c>
      <c r="O47" s="13">
        <v>4428</v>
      </c>
      <c r="P47" s="13">
        <v>4379</v>
      </c>
      <c r="Q47" s="13">
        <v>4390</v>
      </c>
      <c r="R47" s="13">
        <v>4037</v>
      </c>
      <c r="S47" s="13">
        <v>4182.1453461</v>
      </c>
      <c r="T47" s="13">
        <v>3810</v>
      </c>
      <c r="U47" s="13">
        <v>4048</v>
      </c>
      <c r="V47" s="13">
        <v>4313.216362300001</v>
      </c>
      <c r="W47" s="22">
        <v>3910.0950317000006</v>
      </c>
    </row>
    <row r="48" spans="1:23" s="62" customFormat="1" ht="12.75">
      <c r="A48" s="264" t="s">
        <v>27</v>
      </c>
      <c r="B48" s="264" t="s">
        <v>39</v>
      </c>
      <c r="C48" s="264"/>
      <c r="E48" s="59" t="s">
        <v>189</v>
      </c>
      <c r="F48" s="85">
        <v>47675</v>
      </c>
      <c r="G48" s="85">
        <v>52906</v>
      </c>
      <c r="H48" s="85">
        <v>52907.4537</v>
      </c>
      <c r="I48" s="85">
        <v>53025.7332</v>
      </c>
      <c r="J48" s="85">
        <f aca="true" t="shared" si="5" ref="J48:Q48">SUM(J46:J47)</f>
        <v>49172</v>
      </c>
      <c r="K48" s="85">
        <f t="shared" si="5"/>
        <v>47289</v>
      </c>
      <c r="L48" s="85">
        <f t="shared" si="5"/>
        <v>51847</v>
      </c>
      <c r="M48" s="85">
        <f t="shared" si="5"/>
        <v>36698</v>
      </c>
      <c r="N48" s="85">
        <f t="shared" si="5"/>
        <v>34148</v>
      </c>
      <c r="O48" s="85">
        <f t="shared" si="5"/>
        <v>33038</v>
      </c>
      <c r="P48" s="85">
        <f t="shared" si="5"/>
        <v>36104</v>
      </c>
      <c r="Q48" s="85">
        <f t="shared" si="5"/>
        <v>34172</v>
      </c>
      <c r="R48" s="85">
        <f>SUM(R46:R47)</f>
        <v>30674</v>
      </c>
      <c r="S48" s="85">
        <f>SUM(S46:S47)</f>
        <v>33813.9820166</v>
      </c>
      <c r="T48" s="85">
        <f>SUM(T46:T47)</f>
        <v>34816</v>
      </c>
      <c r="U48" s="85">
        <f>SUM(U46:U47)</f>
        <v>36933</v>
      </c>
      <c r="V48" s="85">
        <f>SUM(V46:V47)</f>
        <v>45958.3617169</v>
      </c>
      <c r="W48" s="63">
        <v>45730.6311623</v>
      </c>
    </row>
    <row r="49" spans="1:23" ht="12.75">
      <c r="A49" s="252" t="s">
        <v>38</v>
      </c>
      <c r="B49" s="252"/>
      <c r="C49" s="252"/>
      <c r="E49" s="64"/>
      <c r="F49" s="68"/>
      <c r="G49" s="68"/>
      <c r="H49" s="68"/>
      <c r="I49" s="68"/>
      <c r="J49" s="68"/>
      <c r="K49" s="84"/>
      <c r="L49" s="84"/>
      <c r="M49" s="84"/>
      <c r="N49" s="84"/>
      <c r="O49" s="84"/>
      <c r="P49" s="85"/>
      <c r="Q49" s="85"/>
      <c r="R49" s="85"/>
      <c r="S49" s="85"/>
      <c r="T49" s="85"/>
      <c r="U49" s="85"/>
      <c r="V49" s="85"/>
      <c r="W49" s="22"/>
    </row>
    <row r="50" spans="1:23" s="31" customFormat="1" ht="12.75">
      <c r="A50" s="245" t="s">
        <v>35</v>
      </c>
      <c r="B50" s="245"/>
      <c r="C50" s="245"/>
      <c r="E50" s="136" t="s">
        <v>190</v>
      </c>
      <c r="F50" s="87">
        <v>1999</v>
      </c>
      <c r="G50" s="87">
        <v>2000</v>
      </c>
      <c r="H50" s="87">
        <v>2001</v>
      </c>
      <c r="I50" s="87">
        <v>2002</v>
      </c>
      <c r="J50" s="87">
        <v>2003</v>
      </c>
      <c r="K50" s="87">
        <v>2004</v>
      </c>
      <c r="L50" s="87">
        <v>2005</v>
      </c>
      <c r="M50" s="87">
        <v>2006</v>
      </c>
      <c r="N50" s="87">
        <v>2007</v>
      </c>
      <c r="O50" s="87">
        <v>2008</v>
      </c>
      <c r="P50" s="87">
        <v>2009</v>
      </c>
      <c r="Q50" s="87">
        <v>2010</v>
      </c>
      <c r="R50" s="87">
        <v>2011</v>
      </c>
      <c r="S50" s="87">
        <v>2012</v>
      </c>
      <c r="T50" s="87">
        <f>+T6</f>
        <v>2013</v>
      </c>
      <c r="U50" s="87">
        <f>+U6</f>
        <v>2014</v>
      </c>
      <c r="V50" s="87">
        <f>+V6</f>
        <v>2015</v>
      </c>
      <c r="W50" s="298">
        <v>2016</v>
      </c>
    </row>
    <row r="51" spans="1:23" ht="12.75">
      <c r="A51" s="252" t="s">
        <v>36</v>
      </c>
      <c r="B51" s="252"/>
      <c r="C51" s="252"/>
      <c r="D51" s="171"/>
      <c r="E51" s="64" t="s">
        <v>191</v>
      </c>
      <c r="F51" s="13">
        <v>2578</v>
      </c>
      <c r="G51" s="13">
        <v>3219</v>
      </c>
      <c r="H51" s="13">
        <v>3188.6016</v>
      </c>
      <c r="I51" s="13">
        <v>2857.5373</v>
      </c>
      <c r="J51" s="13">
        <v>2575</v>
      </c>
      <c r="K51" s="13">
        <v>3256</v>
      </c>
      <c r="L51" s="13">
        <v>4558</v>
      </c>
      <c r="M51" s="13">
        <v>5969</v>
      </c>
      <c r="N51" s="13">
        <v>7158</v>
      </c>
      <c r="O51" s="13">
        <v>8416</v>
      </c>
      <c r="P51" s="13">
        <v>11688</v>
      </c>
      <c r="Q51" s="13">
        <v>14231</v>
      </c>
      <c r="R51" s="13">
        <v>14633</v>
      </c>
      <c r="S51" s="13">
        <v>15886.9328692</v>
      </c>
      <c r="T51" s="13">
        <v>14752</v>
      </c>
      <c r="U51" s="13">
        <v>14919</v>
      </c>
      <c r="V51" s="13">
        <v>11940.704568100002</v>
      </c>
      <c r="W51" s="22">
        <v>9987.5231115</v>
      </c>
    </row>
    <row r="52" spans="1:23" ht="12.75">
      <c r="A52" s="252" t="s">
        <v>36</v>
      </c>
      <c r="B52" s="252"/>
      <c r="C52" s="252"/>
      <c r="D52" s="171"/>
      <c r="E52" s="64" t="s">
        <v>192</v>
      </c>
      <c r="F52" s="13">
        <v>616</v>
      </c>
      <c r="G52" s="13">
        <v>664</v>
      </c>
      <c r="H52" s="13">
        <v>886.9429</v>
      </c>
      <c r="I52" s="13">
        <v>661.648</v>
      </c>
      <c r="J52" s="13">
        <v>303</v>
      </c>
      <c r="K52" s="13">
        <v>335</v>
      </c>
      <c r="L52" s="13">
        <v>360</v>
      </c>
      <c r="M52" s="13">
        <v>347</v>
      </c>
      <c r="N52" s="13">
        <v>343</v>
      </c>
      <c r="O52" s="13">
        <v>402</v>
      </c>
      <c r="P52" s="13">
        <v>386</v>
      </c>
      <c r="Q52" s="13">
        <v>560</v>
      </c>
      <c r="R52" s="13">
        <v>584</v>
      </c>
      <c r="S52" s="13">
        <v>727.2086892</v>
      </c>
      <c r="T52" s="13">
        <v>743</v>
      </c>
      <c r="U52" s="13">
        <v>610</v>
      </c>
      <c r="V52" s="13">
        <v>649.9867087000001</v>
      </c>
      <c r="W52" s="22">
        <v>356.3063872000001</v>
      </c>
    </row>
    <row r="53" spans="1:23" ht="12.75">
      <c r="A53" s="252" t="s">
        <v>36</v>
      </c>
      <c r="B53" s="252"/>
      <c r="C53" s="252"/>
      <c r="D53" s="171"/>
      <c r="E53" s="64" t="s">
        <v>195</v>
      </c>
      <c r="F53" s="13">
        <v>459</v>
      </c>
      <c r="G53" s="13">
        <v>640</v>
      </c>
      <c r="H53" s="13">
        <v>571.382</v>
      </c>
      <c r="I53" s="13">
        <v>73.3429</v>
      </c>
      <c r="J53" s="13">
        <v>252</v>
      </c>
      <c r="K53" s="13">
        <v>400</v>
      </c>
      <c r="L53" s="13">
        <v>363</v>
      </c>
      <c r="M53" s="13">
        <v>320</v>
      </c>
      <c r="N53" s="13">
        <v>390</v>
      </c>
      <c r="O53" s="13">
        <v>598</v>
      </c>
      <c r="P53" s="13">
        <v>456</v>
      </c>
      <c r="Q53" s="13">
        <v>507</v>
      </c>
      <c r="R53" s="13">
        <v>776</v>
      </c>
      <c r="S53" s="13">
        <v>2000.9719481</v>
      </c>
      <c r="T53" s="13">
        <v>1909</v>
      </c>
      <c r="U53" s="13">
        <v>1716</v>
      </c>
      <c r="V53" s="13">
        <v>2347.1841706000005</v>
      </c>
      <c r="W53" s="22">
        <v>1476.7810429999997</v>
      </c>
    </row>
    <row r="54" spans="1:23" ht="12.75">
      <c r="A54" s="252" t="s">
        <v>36</v>
      </c>
      <c r="B54" s="252"/>
      <c r="C54" s="252"/>
      <c r="D54" s="171"/>
      <c r="E54" s="64" t="s">
        <v>194</v>
      </c>
      <c r="F54" s="13">
        <v>56</v>
      </c>
      <c r="G54" s="13">
        <v>149</v>
      </c>
      <c r="H54" s="13">
        <v>188.5203</v>
      </c>
      <c r="I54" s="13">
        <v>213.96460000000002</v>
      </c>
      <c r="J54" s="13">
        <v>173</v>
      </c>
      <c r="K54" s="13">
        <v>184</v>
      </c>
      <c r="L54" s="13">
        <v>189</v>
      </c>
      <c r="M54" s="13">
        <v>152</v>
      </c>
      <c r="N54" s="13">
        <v>128</v>
      </c>
      <c r="O54" s="13">
        <v>146</v>
      </c>
      <c r="P54" s="13">
        <v>131</v>
      </c>
      <c r="Q54" s="13">
        <v>189</v>
      </c>
      <c r="R54" s="13">
        <v>242</v>
      </c>
      <c r="S54" s="13">
        <v>256.9878028</v>
      </c>
      <c r="T54" s="13">
        <v>249</v>
      </c>
      <c r="U54" s="13">
        <v>211</v>
      </c>
      <c r="V54" s="13">
        <v>249.6123328</v>
      </c>
      <c r="W54" s="22">
        <v>217.3067342</v>
      </c>
    </row>
    <row r="55" spans="1:23" ht="12.75">
      <c r="A55" s="252" t="s">
        <v>36</v>
      </c>
      <c r="B55" s="252"/>
      <c r="C55" s="252"/>
      <c r="D55" s="171"/>
      <c r="E55" s="64" t="s">
        <v>196</v>
      </c>
      <c r="F55" s="13">
        <v>47</v>
      </c>
      <c r="G55" s="13">
        <v>52</v>
      </c>
      <c r="H55" s="13">
        <v>79.9985</v>
      </c>
      <c r="I55" s="13">
        <v>124.6695</v>
      </c>
      <c r="J55" s="13">
        <v>107</v>
      </c>
      <c r="K55" s="13">
        <v>118</v>
      </c>
      <c r="L55" s="13">
        <v>145</v>
      </c>
      <c r="M55" s="13">
        <v>116</v>
      </c>
      <c r="N55" s="13">
        <v>136</v>
      </c>
      <c r="O55" s="13">
        <v>153</v>
      </c>
      <c r="P55" s="13">
        <v>159</v>
      </c>
      <c r="Q55" s="13">
        <v>222</v>
      </c>
      <c r="R55" s="13">
        <v>273</v>
      </c>
      <c r="S55" s="13">
        <v>326.1646276</v>
      </c>
      <c r="T55" s="13">
        <v>344</v>
      </c>
      <c r="U55" s="13">
        <v>271</v>
      </c>
      <c r="V55" s="13">
        <v>289.8110002</v>
      </c>
      <c r="W55" s="22">
        <v>301.59623679999993</v>
      </c>
    </row>
    <row r="56" spans="1:23" ht="12.75">
      <c r="A56" s="252" t="s">
        <v>36</v>
      </c>
      <c r="B56" s="252"/>
      <c r="C56" s="252"/>
      <c r="D56" s="171"/>
      <c r="E56" s="64" t="s">
        <v>193</v>
      </c>
      <c r="F56" s="13">
        <v>66</v>
      </c>
      <c r="G56" s="13">
        <v>67</v>
      </c>
      <c r="H56" s="13">
        <v>99.77069999999999</v>
      </c>
      <c r="I56" s="13">
        <v>111.16460000000001</v>
      </c>
      <c r="J56" s="13">
        <v>101</v>
      </c>
      <c r="K56" s="13">
        <v>116</v>
      </c>
      <c r="L56" s="13">
        <v>197</v>
      </c>
      <c r="M56" s="13">
        <v>220</v>
      </c>
      <c r="N56" s="13">
        <v>233</v>
      </c>
      <c r="O56" s="13">
        <v>235</v>
      </c>
      <c r="P56" s="13">
        <v>181</v>
      </c>
      <c r="Q56" s="13">
        <v>249</v>
      </c>
      <c r="R56" s="13">
        <v>309</v>
      </c>
      <c r="S56" s="13">
        <v>346.79752499999995</v>
      </c>
      <c r="T56" s="13">
        <v>326</v>
      </c>
      <c r="U56" s="13">
        <v>350</v>
      </c>
      <c r="V56" s="13">
        <v>374.17795270000005</v>
      </c>
      <c r="W56" s="22">
        <v>334.3842879</v>
      </c>
    </row>
    <row r="57" spans="1:23" ht="12.75">
      <c r="A57" s="252" t="s">
        <v>36</v>
      </c>
      <c r="B57" s="252"/>
      <c r="C57" s="252"/>
      <c r="D57" s="171"/>
      <c r="E57" s="64" t="s">
        <v>197</v>
      </c>
      <c r="F57" s="13">
        <v>129</v>
      </c>
      <c r="G57" s="13">
        <v>177</v>
      </c>
      <c r="H57" s="13">
        <v>219.76870000000002</v>
      </c>
      <c r="I57" s="13">
        <v>92.05669999999999</v>
      </c>
      <c r="J57" s="13">
        <v>49</v>
      </c>
      <c r="K57" s="13">
        <v>117</v>
      </c>
      <c r="L57" s="13">
        <v>244</v>
      </c>
      <c r="M57" s="13">
        <v>328</v>
      </c>
      <c r="N57" s="13">
        <v>369</v>
      </c>
      <c r="O57" s="13">
        <v>545</v>
      </c>
      <c r="P57" s="13">
        <v>747</v>
      </c>
      <c r="Q57" s="13">
        <v>342</v>
      </c>
      <c r="R57" s="13">
        <v>542</v>
      </c>
      <c r="S57" s="13">
        <v>703.6503713</v>
      </c>
      <c r="T57" s="13">
        <v>561</v>
      </c>
      <c r="U57" s="13">
        <v>102</v>
      </c>
      <c r="V57" s="13">
        <v>12.6187867</v>
      </c>
      <c r="W57" s="22">
        <v>40.6325596</v>
      </c>
    </row>
    <row r="58" spans="1:23" ht="12.75">
      <c r="A58" s="252" t="s">
        <v>36</v>
      </c>
      <c r="B58" s="252"/>
      <c r="C58" s="252"/>
      <c r="D58" s="171"/>
      <c r="E58" s="64" t="s">
        <v>199</v>
      </c>
      <c r="F58" s="13">
        <v>53</v>
      </c>
      <c r="G58" s="13">
        <v>68</v>
      </c>
      <c r="H58" s="13">
        <v>63.1522</v>
      </c>
      <c r="I58" s="13">
        <v>38.776900000000005</v>
      </c>
      <c r="J58" s="13">
        <v>42</v>
      </c>
      <c r="K58" s="13">
        <v>52</v>
      </c>
      <c r="L58" s="13">
        <v>71</v>
      </c>
      <c r="M58" s="13">
        <v>4</v>
      </c>
      <c r="N58" s="13">
        <v>58</v>
      </c>
      <c r="O58" s="13">
        <v>95</v>
      </c>
      <c r="P58" s="13">
        <v>87</v>
      </c>
      <c r="Q58" s="13">
        <v>127</v>
      </c>
      <c r="R58" s="13">
        <v>583</v>
      </c>
      <c r="S58" s="13">
        <v>2031.9726805999999</v>
      </c>
      <c r="T58" s="13">
        <v>2003</v>
      </c>
      <c r="U58" s="13">
        <v>2022</v>
      </c>
      <c r="V58" s="13">
        <v>2259.2377693999997</v>
      </c>
      <c r="W58" s="22">
        <v>2140.2722096999996</v>
      </c>
    </row>
    <row r="59" spans="1:23" ht="12.75">
      <c r="A59" s="252" t="s">
        <v>36</v>
      </c>
      <c r="B59" s="252"/>
      <c r="C59" s="252"/>
      <c r="D59" s="171"/>
      <c r="E59" s="64" t="s">
        <v>198</v>
      </c>
      <c r="F59" s="13">
        <v>86</v>
      </c>
      <c r="G59" s="13">
        <v>86</v>
      </c>
      <c r="H59" s="13">
        <v>49.9735</v>
      </c>
      <c r="I59" s="13">
        <v>14.5228</v>
      </c>
      <c r="J59" s="13">
        <v>16</v>
      </c>
      <c r="K59" s="13">
        <v>31</v>
      </c>
      <c r="L59" s="13">
        <v>38</v>
      </c>
      <c r="M59" s="13">
        <v>34</v>
      </c>
      <c r="N59" s="13">
        <v>45</v>
      </c>
      <c r="O59" s="13">
        <v>85</v>
      </c>
      <c r="P59" s="13">
        <v>78</v>
      </c>
      <c r="Q59" s="13">
        <v>107</v>
      </c>
      <c r="R59" s="13">
        <v>94</v>
      </c>
      <c r="S59" s="13">
        <v>153.08170780000003</v>
      </c>
      <c r="T59" s="13">
        <v>107</v>
      </c>
      <c r="U59" s="13">
        <v>65</v>
      </c>
      <c r="V59" s="13">
        <v>117.425264</v>
      </c>
      <c r="W59" s="22">
        <v>52.11009000000001</v>
      </c>
    </row>
    <row r="60" spans="1:23" ht="12.75">
      <c r="A60" s="252" t="s">
        <v>36</v>
      </c>
      <c r="B60" s="252"/>
      <c r="C60" s="252"/>
      <c r="D60" s="171"/>
      <c r="E60" s="64" t="s">
        <v>200</v>
      </c>
      <c r="F60" s="13">
        <v>26</v>
      </c>
      <c r="G60" s="13">
        <v>41</v>
      </c>
      <c r="H60" s="13">
        <v>62.6226</v>
      </c>
      <c r="I60" s="13">
        <v>-0.4889</v>
      </c>
      <c r="J60" s="13">
        <v>4</v>
      </c>
      <c r="K60" s="13">
        <v>9</v>
      </c>
      <c r="L60" s="13">
        <v>12</v>
      </c>
      <c r="M60" s="13">
        <v>11</v>
      </c>
      <c r="N60" s="13">
        <v>12</v>
      </c>
      <c r="O60" s="13">
        <v>12</v>
      </c>
      <c r="P60" s="13">
        <v>11</v>
      </c>
      <c r="Q60" s="13">
        <v>12</v>
      </c>
      <c r="R60" s="13">
        <v>6</v>
      </c>
      <c r="S60" s="13">
        <v>35.5885942</v>
      </c>
      <c r="T60" s="13">
        <v>50</v>
      </c>
      <c r="U60" s="13">
        <v>36</v>
      </c>
      <c r="V60" s="13">
        <v>31.9553452</v>
      </c>
      <c r="W60" s="22">
        <v>24.0319355</v>
      </c>
    </row>
    <row r="61" spans="1:23" ht="12.75">
      <c r="A61" s="252" t="s">
        <v>36</v>
      </c>
      <c r="B61" s="252"/>
      <c r="C61" s="252"/>
      <c r="D61" s="171"/>
      <c r="E61" s="64" t="s">
        <v>93</v>
      </c>
      <c r="F61" s="13">
        <v>473</v>
      </c>
      <c r="G61" s="13">
        <v>429</v>
      </c>
      <c r="H61" s="13">
        <v>534</v>
      </c>
      <c r="I61" s="13">
        <v>403</v>
      </c>
      <c r="J61" s="13">
        <v>394</v>
      </c>
      <c r="K61" s="13">
        <v>349</v>
      </c>
      <c r="L61" s="13">
        <v>480</v>
      </c>
      <c r="M61" s="13">
        <v>583</v>
      </c>
      <c r="N61" s="13">
        <v>779</v>
      </c>
      <c r="O61" s="13">
        <v>886</v>
      </c>
      <c r="P61" s="13">
        <f>14747-SUM(P51:P60)</f>
        <v>823</v>
      </c>
      <c r="Q61" s="13">
        <f>17514-SUM(Q51:Q60)</f>
        <v>968</v>
      </c>
      <c r="R61" s="13">
        <f>19017-SUM(R51:R60)</f>
        <v>975</v>
      </c>
      <c r="S61" s="13">
        <v>1052</v>
      </c>
      <c r="T61" s="13">
        <v>1048</v>
      </c>
      <c r="U61" s="13">
        <v>973</v>
      </c>
      <c r="V61" s="13">
        <v>1383.3408104</v>
      </c>
      <c r="W61" s="22">
        <v>1411.4102757000003</v>
      </c>
    </row>
    <row r="62" spans="1:23" s="62" customFormat="1" ht="12.75">
      <c r="A62" s="264" t="s">
        <v>27</v>
      </c>
      <c r="B62" s="264" t="s">
        <v>39</v>
      </c>
      <c r="C62" s="264"/>
      <c r="E62" s="59" t="s">
        <v>201</v>
      </c>
      <c r="F62" s="14">
        <v>4589</v>
      </c>
      <c r="G62" s="14">
        <v>5592</v>
      </c>
      <c r="H62" s="14">
        <v>5944.732999999999</v>
      </c>
      <c r="I62" s="14">
        <v>4590.1944</v>
      </c>
      <c r="J62" s="14">
        <f aca="true" t="shared" si="6" ref="J62:Q62">SUM(J51:J61)</f>
        <v>4016</v>
      </c>
      <c r="K62" s="14">
        <f t="shared" si="6"/>
        <v>4967</v>
      </c>
      <c r="L62" s="14">
        <f t="shared" si="6"/>
        <v>6657</v>
      </c>
      <c r="M62" s="14">
        <f t="shared" si="6"/>
        <v>8084</v>
      </c>
      <c r="N62" s="14">
        <f t="shared" si="6"/>
        <v>9651</v>
      </c>
      <c r="O62" s="14">
        <f t="shared" si="6"/>
        <v>11573</v>
      </c>
      <c r="P62" s="14">
        <f t="shared" si="6"/>
        <v>14747</v>
      </c>
      <c r="Q62" s="14">
        <f t="shared" si="6"/>
        <v>17514</v>
      </c>
      <c r="R62" s="14">
        <f>SUM(R51:R61)</f>
        <v>19017</v>
      </c>
      <c r="S62" s="14">
        <f>SUM(S51:S61)</f>
        <v>23521.356815799994</v>
      </c>
      <c r="T62" s="14">
        <f>SUM(T51:T61)</f>
        <v>22092</v>
      </c>
      <c r="U62" s="14">
        <f>SUM(U51:U61)</f>
        <v>21275</v>
      </c>
      <c r="V62" s="14">
        <f>SUM(V51:V61)</f>
        <v>19656.054708800002</v>
      </c>
      <c r="W62" s="63">
        <v>16342.354871099998</v>
      </c>
    </row>
    <row r="63" spans="1:23" ht="12.75">
      <c r="A63" s="252" t="s">
        <v>38</v>
      </c>
      <c r="B63" s="252"/>
      <c r="C63" s="252"/>
      <c r="E63" s="64"/>
      <c r="F63" s="68"/>
      <c r="G63" s="68"/>
      <c r="H63" s="68"/>
      <c r="I63" s="68"/>
      <c r="J63" s="68"/>
      <c r="K63" s="84"/>
      <c r="L63" s="84"/>
      <c r="M63" s="84"/>
      <c r="N63" s="84"/>
      <c r="O63" s="84"/>
      <c r="P63" s="85"/>
      <c r="Q63" s="85"/>
      <c r="R63" s="85"/>
      <c r="S63" s="85"/>
      <c r="T63" s="85"/>
      <c r="U63" s="85"/>
      <c r="V63" s="85"/>
      <c r="W63" s="22"/>
    </row>
    <row r="64" spans="1:23" s="31" customFormat="1" ht="12.75">
      <c r="A64" s="245" t="s">
        <v>35</v>
      </c>
      <c r="B64" s="245"/>
      <c r="C64" s="245"/>
      <c r="E64" s="136" t="s">
        <v>202</v>
      </c>
      <c r="F64" s="87">
        <v>1999</v>
      </c>
      <c r="G64" s="87">
        <v>2000</v>
      </c>
      <c r="H64" s="87">
        <v>2001</v>
      </c>
      <c r="I64" s="87">
        <v>2002</v>
      </c>
      <c r="J64" s="87">
        <v>2003</v>
      </c>
      <c r="K64" s="87">
        <v>2004</v>
      </c>
      <c r="L64" s="87">
        <v>2005</v>
      </c>
      <c r="M64" s="87">
        <v>2006</v>
      </c>
      <c r="N64" s="87">
        <v>2007</v>
      </c>
      <c r="O64" s="87">
        <v>2008</v>
      </c>
      <c r="P64" s="87">
        <v>2009</v>
      </c>
      <c r="Q64" s="87">
        <v>2010</v>
      </c>
      <c r="R64" s="87">
        <v>2011</v>
      </c>
      <c r="S64" s="87">
        <v>2012</v>
      </c>
      <c r="T64" s="87">
        <f>+T6</f>
        <v>2013</v>
      </c>
      <c r="U64" s="87">
        <f>+U6</f>
        <v>2014</v>
      </c>
      <c r="V64" s="87">
        <f>+V6</f>
        <v>2015</v>
      </c>
      <c r="W64" s="298">
        <v>2016</v>
      </c>
    </row>
    <row r="65" spans="1:23" ht="12.75">
      <c r="A65" s="252" t="s">
        <v>35</v>
      </c>
      <c r="B65" s="252"/>
      <c r="C65" s="252"/>
      <c r="E65" s="59" t="s">
        <v>203</v>
      </c>
      <c r="F65" s="65"/>
      <c r="G65" s="65"/>
      <c r="H65" s="65"/>
      <c r="I65" s="13"/>
      <c r="J65" s="13"/>
      <c r="K65" s="13"/>
      <c r="L65" s="13"/>
      <c r="M65" s="13"/>
      <c r="N65" s="13"/>
      <c r="O65" s="13"/>
      <c r="P65" s="14"/>
      <c r="Q65" s="14"/>
      <c r="R65" s="14"/>
      <c r="S65" s="14"/>
      <c r="T65" s="14"/>
      <c r="U65" s="14"/>
      <c r="V65" s="14"/>
      <c r="W65" s="22"/>
    </row>
    <row r="66" spans="1:23" ht="12.75">
      <c r="A66" s="252" t="s">
        <v>36</v>
      </c>
      <c r="B66" s="252"/>
      <c r="C66" s="252"/>
      <c r="D66" s="171"/>
      <c r="E66" s="64" t="s">
        <v>204</v>
      </c>
      <c r="F66" s="13">
        <v>1003</v>
      </c>
      <c r="G66" s="13">
        <v>1446</v>
      </c>
      <c r="H66" s="13">
        <v>2469</v>
      </c>
      <c r="I66" s="13">
        <v>2723</v>
      </c>
      <c r="J66" s="13">
        <v>1578</v>
      </c>
      <c r="K66" s="13">
        <v>1108</v>
      </c>
      <c r="L66" s="13">
        <v>1179</v>
      </c>
      <c r="M66" s="13">
        <v>845</v>
      </c>
      <c r="N66" s="13">
        <v>822</v>
      </c>
      <c r="O66" s="13">
        <v>819</v>
      </c>
      <c r="P66" s="13">
        <v>663</v>
      </c>
      <c r="Q66" s="13">
        <v>943</v>
      </c>
      <c r="R66" s="13">
        <v>1266</v>
      </c>
      <c r="S66" s="13">
        <v>1690.8453253999999</v>
      </c>
      <c r="T66" s="13">
        <v>2263</v>
      </c>
      <c r="U66" s="13">
        <v>2462</v>
      </c>
      <c r="V66" s="13">
        <v>2188.9649388</v>
      </c>
      <c r="W66" s="22">
        <v>1817.3631780000003</v>
      </c>
    </row>
    <row r="67" spans="1:23" ht="12.75">
      <c r="A67" s="252" t="s">
        <v>36</v>
      </c>
      <c r="B67" s="252"/>
      <c r="C67" s="252"/>
      <c r="D67" s="171"/>
      <c r="E67" s="64" t="s">
        <v>208</v>
      </c>
      <c r="F67" s="13">
        <v>1031</v>
      </c>
      <c r="G67" s="13">
        <v>868</v>
      </c>
      <c r="H67" s="13">
        <v>915.9878</v>
      </c>
      <c r="I67" s="13">
        <v>736.5301</v>
      </c>
      <c r="J67" s="13">
        <v>600</v>
      </c>
      <c r="K67" s="13">
        <v>565</v>
      </c>
      <c r="L67" s="13">
        <v>528</v>
      </c>
      <c r="M67" s="13">
        <v>351</v>
      </c>
      <c r="N67" s="13">
        <v>318</v>
      </c>
      <c r="O67" s="13">
        <v>314</v>
      </c>
      <c r="P67" s="13">
        <v>354</v>
      </c>
      <c r="Q67" s="13">
        <v>380</v>
      </c>
      <c r="R67" s="13">
        <v>508</v>
      </c>
      <c r="S67" s="13">
        <v>673.4602103999999</v>
      </c>
      <c r="T67" s="13">
        <v>629</v>
      </c>
      <c r="U67" s="13">
        <v>551</v>
      </c>
      <c r="V67" s="13">
        <v>504.7180427</v>
      </c>
      <c r="W67" s="22">
        <v>642.9467018999999</v>
      </c>
    </row>
    <row r="68" spans="1:23" ht="12.75">
      <c r="A68" s="252" t="s">
        <v>36</v>
      </c>
      <c r="B68" s="252"/>
      <c r="C68" s="252"/>
      <c r="D68" s="171"/>
      <c r="E68" s="64" t="s">
        <v>205</v>
      </c>
      <c r="F68" s="13">
        <v>953</v>
      </c>
      <c r="G68" s="13">
        <v>1134</v>
      </c>
      <c r="H68" s="13">
        <v>926.3176</v>
      </c>
      <c r="I68" s="13">
        <v>869.1383000000001</v>
      </c>
      <c r="J68" s="13">
        <v>528</v>
      </c>
      <c r="K68" s="13">
        <v>565</v>
      </c>
      <c r="L68" s="13">
        <v>400</v>
      </c>
      <c r="M68" s="13">
        <v>19</v>
      </c>
      <c r="N68" s="13">
        <v>24</v>
      </c>
      <c r="O68" s="13">
        <v>39</v>
      </c>
      <c r="P68" s="13">
        <v>61</v>
      </c>
      <c r="Q68" s="13">
        <v>58</v>
      </c>
      <c r="R68" s="13">
        <v>68</v>
      </c>
      <c r="S68" s="13">
        <v>53.81508759999999</v>
      </c>
      <c r="T68" s="13">
        <v>62</v>
      </c>
      <c r="U68" s="13">
        <v>38</v>
      </c>
      <c r="V68" s="13">
        <v>53.101014500000005</v>
      </c>
      <c r="W68" s="22">
        <v>71.37158629999999</v>
      </c>
    </row>
    <row r="69" spans="1:23" ht="12.75">
      <c r="A69" s="252" t="s">
        <v>36</v>
      </c>
      <c r="B69" s="252"/>
      <c r="C69" s="252"/>
      <c r="D69" s="171"/>
      <c r="E69" s="64" t="s">
        <v>214</v>
      </c>
      <c r="F69" s="13">
        <v>149</v>
      </c>
      <c r="G69" s="13">
        <v>207</v>
      </c>
      <c r="H69" s="13">
        <v>212</v>
      </c>
      <c r="I69" s="13">
        <v>311</v>
      </c>
      <c r="J69" s="13">
        <v>273</v>
      </c>
      <c r="K69" s="13">
        <v>226</v>
      </c>
      <c r="L69" s="13">
        <v>209</v>
      </c>
      <c r="M69" s="13">
        <v>174</v>
      </c>
      <c r="N69" s="13">
        <v>229</v>
      </c>
      <c r="O69" s="13">
        <v>241</v>
      </c>
      <c r="P69" s="13">
        <v>225</v>
      </c>
      <c r="Q69" s="13">
        <v>277</v>
      </c>
      <c r="R69" s="13">
        <v>284</v>
      </c>
      <c r="S69" s="13">
        <v>388.48623630000003</v>
      </c>
      <c r="T69" s="13">
        <v>419</v>
      </c>
      <c r="U69" s="13">
        <v>538</v>
      </c>
      <c r="V69" s="13">
        <v>647.7361125999998</v>
      </c>
      <c r="W69" s="22">
        <v>738.6471467</v>
      </c>
    </row>
    <row r="70" spans="1:23" ht="12.75">
      <c r="A70" s="252" t="s">
        <v>36</v>
      </c>
      <c r="B70" s="252"/>
      <c r="C70" s="252"/>
      <c r="D70" s="171"/>
      <c r="E70" s="64" t="s">
        <v>206</v>
      </c>
      <c r="F70" s="13">
        <v>190</v>
      </c>
      <c r="G70" s="13">
        <v>187</v>
      </c>
      <c r="H70" s="13">
        <v>243.15220000000002</v>
      </c>
      <c r="I70" s="13">
        <v>253.521</v>
      </c>
      <c r="J70" s="13">
        <v>233</v>
      </c>
      <c r="K70" s="13">
        <v>205</v>
      </c>
      <c r="L70" s="13">
        <v>182</v>
      </c>
      <c r="M70" s="13">
        <v>144</v>
      </c>
      <c r="N70" s="13">
        <v>147</v>
      </c>
      <c r="O70" s="13">
        <v>146</v>
      </c>
      <c r="P70" s="13">
        <v>144</v>
      </c>
      <c r="Q70" s="13">
        <v>214</v>
      </c>
      <c r="R70" s="13">
        <v>239</v>
      </c>
      <c r="S70" s="13">
        <v>286.37868260000005</v>
      </c>
      <c r="T70" s="13">
        <v>284</v>
      </c>
      <c r="U70" s="13">
        <v>230</v>
      </c>
      <c r="V70" s="13">
        <v>220.99668480000003</v>
      </c>
      <c r="W70" s="22">
        <v>226.4415513</v>
      </c>
    </row>
    <row r="71" spans="1:23" ht="12.75">
      <c r="A71" s="252" t="s">
        <v>36</v>
      </c>
      <c r="B71" s="252"/>
      <c r="C71" s="252"/>
      <c r="D71" s="171"/>
      <c r="E71" s="64" t="s">
        <v>207</v>
      </c>
      <c r="F71" s="13">
        <v>297</v>
      </c>
      <c r="G71" s="13">
        <v>278</v>
      </c>
      <c r="H71" s="13">
        <v>316.53459999999995</v>
      </c>
      <c r="I71" s="13">
        <v>289.03270000000003</v>
      </c>
      <c r="J71" s="13">
        <v>209</v>
      </c>
      <c r="K71" s="13">
        <v>200</v>
      </c>
      <c r="L71" s="13">
        <v>243</v>
      </c>
      <c r="M71" s="13">
        <v>258</v>
      </c>
      <c r="N71" s="13">
        <v>295</v>
      </c>
      <c r="O71" s="13">
        <v>301</v>
      </c>
      <c r="P71" s="13">
        <v>320</v>
      </c>
      <c r="Q71" s="13">
        <v>351</v>
      </c>
      <c r="R71" s="13">
        <v>410</v>
      </c>
      <c r="S71" s="13">
        <v>509.195899</v>
      </c>
      <c r="T71" s="13">
        <v>557</v>
      </c>
      <c r="U71" s="13">
        <v>630</v>
      </c>
      <c r="V71" s="13">
        <v>760.584795</v>
      </c>
      <c r="W71" s="22">
        <v>823.8819728</v>
      </c>
    </row>
    <row r="72" spans="1:23" ht="12.75">
      <c r="A72" s="252" t="s">
        <v>36</v>
      </c>
      <c r="B72" s="252"/>
      <c r="C72" s="252"/>
      <c r="D72" s="171"/>
      <c r="E72" s="64" t="s">
        <v>213</v>
      </c>
      <c r="F72" s="13">
        <v>208</v>
      </c>
      <c r="G72" s="13">
        <v>205</v>
      </c>
      <c r="H72" s="13">
        <v>261.22270000000003</v>
      </c>
      <c r="I72" s="13">
        <v>241.021</v>
      </c>
      <c r="J72" s="13">
        <v>208</v>
      </c>
      <c r="K72" s="13">
        <v>151</v>
      </c>
      <c r="L72" s="13">
        <v>166</v>
      </c>
      <c r="M72" s="13">
        <v>147</v>
      </c>
      <c r="N72" s="13">
        <v>182</v>
      </c>
      <c r="O72" s="13">
        <v>170</v>
      </c>
      <c r="P72" s="13">
        <v>196</v>
      </c>
      <c r="Q72" s="13">
        <v>293</v>
      </c>
      <c r="R72" s="13">
        <v>192</v>
      </c>
      <c r="S72" s="13">
        <v>176.98197420000002</v>
      </c>
      <c r="T72" s="13">
        <v>156</v>
      </c>
      <c r="U72" s="13">
        <v>214</v>
      </c>
      <c r="V72" s="13">
        <v>208.32919149999998</v>
      </c>
      <c r="W72" s="22">
        <v>220.5043028</v>
      </c>
    </row>
    <row r="73" spans="1:23" ht="12.75">
      <c r="A73" s="252" t="s">
        <v>36</v>
      </c>
      <c r="B73" s="252"/>
      <c r="C73" s="252"/>
      <c r="D73" s="171"/>
      <c r="E73" s="64" t="s">
        <v>209</v>
      </c>
      <c r="F73" s="13">
        <v>139</v>
      </c>
      <c r="G73" s="13">
        <v>184</v>
      </c>
      <c r="H73" s="13">
        <v>207.679</v>
      </c>
      <c r="I73" s="13">
        <v>200.8487</v>
      </c>
      <c r="J73" s="13">
        <v>172</v>
      </c>
      <c r="K73" s="13">
        <v>157</v>
      </c>
      <c r="L73" s="13">
        <v>174</v>
      </c>
      <c r="M73" s="13">
        <v>153</v>
      </c>
      <c r="N73" s="13">
        <v>178</v>
      </c>
      <c r="O73" s="13">
        <v>207</v>
      </c>
      <c r="P73" s="13">
        <v>234</v>
      </c>
      <c r="Q73" s="13">
        <v>287</v>
      </c>
      <c r="R73" s="13">
        <v>310</v>
      </c>
      <c r="S73" s="13">
        <v>376.6218031</v>
      </c>
      <c r="T73" s="13">
        <v>358</v>
      </c>
      <c r="U73" s="13">
        <v>454</v>
      </c>
      <c r="V73" s="13">
        <v>503.9241888</v>
      </c>
      <c r="W73" s="22">
        <v>470.3305401999999</v>
      </c>
    </row>
    <row r="74" spans="1:23" ht="12.75">
      <c r="A74" s="252" t="s">
        <v>36</v>
      </c>
      <c r="B74" s="252"/>
      <c r="C74" s="252"/>
      <c r="D74" s="171"/>
      <c r="E74" s="64" t="s">
        <v>210</v>
      </c>
      <c r="F74" s="13">
        <v>131</v>
      </c>
      <c r="G74" s="13">
        <v>120</v>
      </c>
      <c r="H74" s="13">
        <v>129.1569</v>
      </c>
      <c r="I74" s="13">
        <v>124.2198</v>
      </c>
      <c r="J74" s="13">
        <v>85</v>
      </c>
      <c r="K74" s="13">
        <v>80</v>
      </c>
      <c r="L74" s="13">
        <v>79</v>
      </c>
      <c r="M74" s="13">
        <v>80</v>
      </c>
      <c r="N74" s="13">
        <v>101</v>
      </c>
      <c r="O74" s="13">
        <v>127</v>
      </c>
      <c r="P74" s="13">
        <v>165</v>
      </c>
      <c r="Q74" s="13">
        <v>133</v>
      </c>
      <c r="R74" s="13">
        <v>138</v>
      </c>
      <c r="S74" s="13">
        <v>136.715371</v>
      </c>
      <c r="T74" s="13">
        <v>153</v>
      </c>
      <c r="U74" s="13">
        <v>195</v>
      </c>
      <c r="V74" s="13">
        <v>273.3432257</v>
      </c>
      <c r="W74" s="22">
        <v>293.797038</v>
      </c>
    </row>
    <row r="75" spans="1:23" ht="12.75">
      <c r="A75" s="252" t="s">
        <v>36</v>
      </c>
      <c r="B75" s="252"/>
      <c r="C75" s="252"/>
      <c r="D75" s="171"/>
      <c r="E75" s="64" t="s">
        <v>211</v>
      </c>
      <c r="F75" s="13">
        <v>45</v>
      </c>
      <c r="G75" s="13">
        <v>63</v>
      </c>
      <c r="H75" s="13">
        <v>80.4665</v>
      </c>
      <c r="I75" s="13">
        <v>81.3468</v>
      </c>
      <c r="J75" s="13">
        <v>67</v>
      </c>
      <c r="K75" s="13">
        <v>78</v>
      </c>
      <c r="L75" s="13">
        <v>103</v>
      </c>
      <c r="M75" s="13">
        <v>100</v>
      </c>
      <c r="N75" s="13">
        <v>149</v>
      </c>
      <c r="O75" s="13">
        <v>206</v>
      </c>
      <c r="P75" s="13">
        <v>279</v>
      </c>
      <c r="Q75" s="13">
        <v>331</v>
      </c>
      <c r="R75" s="13">
        <v>370</v>
      </c>
      <c r="S75" s="13">
        <v>455.1084452</v>
      </c>
      <c r="T75" s="13">
        <v>493</v>
      </c>
      <c r="U75" s="13">
        <v>611</v>
      </c>
      <c r="V75" s="13">
        <v>813.5144339000001</v>
      </c>
      <c r="W75" s="22">
        <v>988.8909381000001</v>
      </c>
    </row>
    <row r="76" spans="1:23" ht="12.75">
      <c r="A76" s="252" t="s">
        <v>36</v>
      </c>
      <c r="B76" s="252"/>
      <c r="C76" s="252"/>
      <c r="D76" s="171"/>
      <c r="E76" s="64" t="s">
        <v>215</v>
      </c>
      <c r="F76" s="13">
        <v>99</v>
      </c>
      <c r="G76" s="13">
        <v>63</v>
      </c>
      <c r="H76" s="13">
        <v>76.3358</v>
      </c>
      <c r="I76" s="13">
        <v>67.2387</v>
      </c>
      <c r="J76" s="13">
        <v>56</v>
      </c>
      <c r="K76" s="13">
        <v>42</v>
      </c>
      <c r="L76" s="13">
        <v>49</v>
      </c>
      <c r="M76" s="13">
        <v>30</v>
      </c>
      <c r="N76" s="13">
        <v>20</v>
      </c>
      <c r="O76" s="13">
        <v>28</v>
      </c>
      <c r="P76" s="13">
        <v>39</v>
      </c>
      <c r="Q76" s="13">
        <v>51</v>
      </c>
      <c r="R76" s="13">
        <v>62</v>
      </c>
      <c r="S76" s="13">
        <v>68.0830447</v>
      </c>
      <c r="T76" s="13">
        <v>82</v>
      </c>
      <c r="U76" s="13">
        <v>109</v>
      </c>
      <c r="V76" s="13">
        <v>168.23450089999997</v>
      </c>
      <c r="W76" s="22">
        <v>189.989088</v>
      </c>
    </row>
    <row r="77" spans="1:23" ht="12.75">
      <c r="A77" s="252" t="s">
        <v>36</v>
      </c>
      <c r="B77" s="252"/>
      <c r="C77" s="252"/>
      <c r="D77" s="171"/>
      <c r="E77" s="64" t="s">
        <v>93</v>
      </c>
      <c r="F77" s="13">
        <v>211</v>
      </c>
      <c r="G77" s="13">
        <v>210</v>
      </c>
      <c r="H77" s="13">
        <v>224</v>
      </c>
      <c r="I77" s="13">
        <v>247</v>
      </c>
      <c r="J77" s="13">
        <v>219</v>
      </c>
      <c r="K77" s="13">
        <v>208</v>
      </c>
      <c r="L77" s="13">
        <v>375</v>
      </c>
      <c r="M77" s="13"/>
      <c r="N77" s="13">
        <v>755</v>
      </c>
      <c r="O77" s="13">
        <v>303</v>
      </c>
      <c r="P77" s="13">
        <f>2952-SUM(P66:P76)</f>
        <v>272</v>
      </c>
      <c r="Q77" s="13">
        <f>3580-SUM(Q66:Q76)</f>
        <v>262</v>
      </c>
      <c r="R77" s="13">
        <f>(3622+508)-SUM(R66:R76)</f>
        <v>283</v>
      </c>
      <c r="S77" s="13">
        <v>388</v>
      </c>
      <c r="T77" s="13">
        <v>444</v>
      </c>
      <c r="U77" s="13">
        <v>486</v>
      </c>
      <c r="V77" s="13">
        <v>484.5721957</v>
      </c>
      <c r="W77" s="22">
        <v>501.45309539999977</v>
      </c>
    </row>
    <row r="78" spans="1:23" s="62" customFormat="1" ht="12.75">
      <c r="A78" s="264" t="s">
        <v>27</v>
      </c>
      <c r="B78" s="264" t="s">
        <v>39</v>
      </c>
      <c r="C78" s="264"/>
      <c r="E78" s="59" t="s">
        <v>216</v>
      </c>
      <c r="F78" s="14">
        <v>4456</v>
      </c>
      <c r="G78" s="14">
        <v>4965</v>
      </c>
      <c r="H78" s="14">
        <v>6061.8531</v>
      </c>
      <c r="I78" s="14">
        <v>6143.8971</v>
      </c>
      <c r="J78" s="14">
        <f aca="true" t="shared" si="7" ref="J78:Q78">SUM(J66:J77)</f>
        <v>4228</v>
      </c>
      <c r="K78" s="14">
        <f t="shared" si="7"/>
        <v>3585</v>
      </c>
      <c r="L78" s="14">
        <f t="shared" si="7"/>
        <v>3687</v>
      </c>
      <c r="M78" s="14">
        <f t="shared" si="7"/>
        <v>2301</v>
      </c>
      <c r="N78" s="14">
        <f t="shared" si="7"/>
        <v>3220</v>
      </c>
      <c r="O78" s="14">
        <f t="shared" si="7"/>
        <v>2901</v>
      </c>
      <c r="P78" s="14">
        <f t="shared" si="7"/>
        <v>2952</v>
      </c>
      <c r="Q78" s="14">
        <f t="shared" si="7"/>
        <v>3580</v>
      </c>
      <c r="R78" s="14">
        <f>SUM(R66:R77)</f>
        <v>4130</v>
      </c>
      <c r="S78" s="14">
        <f>SUM(S66:S77)</f>
        <v>5203.6920795</v>
      </c>
      <c r="T78" s="14">
        <f>SUM(T66:T77)</f>
        <v>5900</v>
      </c>
      <c r="U78" s="14">
        <f>SUM(U66:U77)</f>
        <v>6518</v>
      </c>
      <c r="V78" s="14">
        <f>SUM(V66:V77)</f>
        <v>6828.019324899999</v>
      </c>
      <c r="W78" s="63">
        <v>6985.6171395</v>
      </c>
    </row>
    <row r="79" spans="1:23" s="62" customFormat="1" ht="12.75">
      <c r="A79" s="252" t="s">
        <v>38</v>
      </c>
      <c r="B79" s="264"/>
      <c r="C79" s="264"/>
      <c r="E79" s="59"/>
      <c r="F79" s="14"/>
      <c r="G79" s="14"/>
      <c r="H79" s="14"/>
      <c r="I79" s="14"/>
      <c r="J79" s="14"/>
      <c r="K79" s="14"/>
      <c r="L79" s="14"/>
      <c r="M79" s="14"/>
      <c r="N79" s="14"/>
      <c r="O79" s="14"/>
      <c r="P79" s="14"/>
      <c r="Q79" s="14"/>
      <c r="R79" s="14"/>
      <c r="S79" s="14"/>
      <c r="T79" s="14"/>
      <c r="U79" s="14"/>
      <c r="V79" s="14"/>
      <c r="W79" s="63"/>
    </row>
    <row r="80" spans="1:23" ht="12.75">
      <c r="A80" s="252" t="s">
        <v>35</v>
      </c>
      <c r="B80" s="252"/>
      <c r="C80" s="252"/>
      <c r="E80" s="59" t="s">
        <v>217</v>
      </c>
      <c r="F80" s="65"/>
      <c r="G80" s="65"/>
      <c r="H80" s="65"/>
      <c r="I80" s="13"/>
      <c r="J80" s="13"/>
      <c r="K80" s="13"/>
      <c r="L80" s="13"/>
      <c r="M80" s="13"/>
      <c r="N80" s="13"/>
      <c r="O80" s="13"/>
      <c r="P80" s="13"/>
      <c r="Q80" s="13"/>
      <c r="R80" s="13"/>
      <c r="S80" s="13"/>
      <c r="T80" s="13"/>
      <c r="U80" s="13"/>
      <c r="V80" s="13"/>
      <c r="W80" s="22"/>
    </row>
    <row r="81" spans="1:23" s="62" customFormat="1" ht="12.75">
      <c r="A81" s="264" t="s">
        <v>27</v>
      </c>
      <c r="B81" s="264" t="s">
        <v>39</v>
      </c>
      <c r="C81" s="264"/>
      <c r="E81" s="59" t="s">
        <v>218</v>
      </c>
      <c r="F81" s="14">
        <v>744</v>
      </c>
      <c r="G81" s="14">
        <v>768</v>
      </c>
      <c r="H81" s="14">
        <v>824.5725</v>
      </c>
      <c r="I81" s="14">
        <v>886.8661</v>
      </c>
      <c r="J81" s="14">
        <v>694</v>
      </c>
      <c r="K81" s="14">
        <v>773</v>
      </c>
      <c r="L81" s="14">
        <v>831</v>
      </c>
      <c r="M81" s="14">
        <v>1239</v>
      </c>
      <c r="N81" s="14">
        <v>676</v>
      </c>
      <c r="O81" s="14">
        <v>1189</v>
      </c>
      <c r="P81" s="14">
        <v>1070</v>
      </c>
      <c r="Q81" s="14">
        <v>1071</v>
      </c>
      <c r="R81" s="14">
        <v>951</v>
      </c>
      <c r="S81" s="14">
        <v>972</v>
      </c>
      <c r="T81" s="14">
        <v>1039</v>
      </c>
      <c r="U81" s="14">
        <v>1081</v>
      </c>
      <c r="V81" s="14">
        <v>1164.4910406000004</v>
      </c>
      <c r="W81" s="63">
        <v>1167.4641350999998</v>
      </c>
    </row>
    <row r="82" spans="1:23" s="62" customFormat="1" ht="12.75">
      <c r="A82" s="264" t="s">
        <v>27</v>
      </c>
      <c r="B82" s="264" t="s">
        <v>39</v>
      </c>
      <c r="C82" s="264"/>
      <c r="E82" s="59" t="s">
        <v>219</v>
      </c>
      <c r="F82" s="14">
        <v>5200</v>
      </c>
      <c r="G82" s="14">
        <v>5733</v>
      </c>
      <c r="H82" s="14">
        <v>6886.4256000000005</v>
      </c>
      <c r="I82" s="14">
        <v>7030.7632</v>
      </c>
      <c r="J82" s="14">
        <f>J81+J78</f>
        <v>4922</v>
      </c>
      <c r="K82" s="14">
        <f>K81+K78</f>
        <v>4358</v>
      </c>
      <c r="L82" s="14">
        <f>L81+L78</f>
        <v>4518</v>
      </c>
      <c r="M82" s="14">
        <f aca="true" t="shared" si="8" ref="M82:V82">+M81+M78</f>
        <v>3540</v>
      </c>
      <c r="N82" s="14">
        <f t="shared" si="8"/>
        <v>3896</v>
      </c>
      <c r="O82" s="14">
        <f t="shared" si="8"/>
        <v>4090</v>
      </c>
      <c r="P82" s="14">
        <f t="shared" si="8"/>
        <v>4022</v>
      </c>
      <c r="Q82" s="14">
        <f t="shared" si="8"/>
        <v>4651</v>
      </c>
      <c r="R82" s="14">
        <f t="shared" si="8"/>
        <v>5081</v>
      </c>
      <c r="S82" s="14">
        <f t="shared" si="8"/>
        <v>6175.6920795</v>
      </c>
      <c r="T82" s="14">
        <f t="shared" si="8"/>
        <v>6939</v>
      </c>
      <c r="U82" s="14">
        <f t="shared" si="8"/>
        <v>7599</v>
      </c>
      <c r="V82" s="14">
        <f t="shared" si="8"/>
        <v>7992.5103655</v>
      </c>
      <c r="W82" s="63">
        <v>8153.0812746</v>
      </c>
    </row>
    <row r="83" spans="1:23" ht="12.75">
      <c r="A83" s="252" t="s">
        <v>38</v>
      </c>
      <c r="B83" s="252"/>
      <c r="C83" s="252"/>
      <c r="E83" s="64"/>
      <c r="F83" s="68"/>
      <c r="G83" s="68"/>
      <c r="H83" s="68"/>
      <c r="I83" s="68"/>
      <c r="J83" s="68"/>
      <c r="K83" s="68"/>
      <c r="L83" s="68"/>
      <c r="M83" s="68"/>
      <c r="N83" s="68"/>
      <c r="O83" s="68"/>
      <c r="P83" s="69"/>
      <c r="Q83" s="69"/>
      <c r="R83" s="69"/>
      <c r="S83" s="69"/>
      <c r="T83" s="69"/>
      <c r="U83" s="69"/>
      <c r="V83" s="69"/>
      <c r="W83" s="22"/>
    </row>
    <row r="84" spans="1:23" s="31" customFormat="1" ht="21.75" customHeight="1">
      <c r="A84" s="245" t="s">
        <v>35</v>
      </c>
      <c r="B84" s="245"/>
      <c r="C84" s="245"/>
      <c r="E84" s="136" t="s">
        <v>220</v>
      </c>
      <c r="F84" s="87">
        <v>1999</v>
      </c>
      <c r="G84" s="87">
        <v>2000</v>
      </c>
      <c r="H84" s="87">
        <v>2001</v>
      </c>
      <c r="I84" s="87">
        <v>2002</v>
      </c>
      <c r="J84" s="87">
        <v>2003</v>
      </c>
      <c r="K84" s="87">
        <v>2004</v>
      </c>
      <c r="L84" s="87">
        <v>2005</v>
      </c>
      <c r="M84" s="87">
        <v>2006</v>
      </c>
      <c r="N84" s="87">
        <v>2007</v>
      </c>
      <c r="O84" s="87">
        <v>2008</v>
      </c>
      <c r="P84" s="87">
        <v>2009</v>
      </c>
      <c r="Q84" s="87">
        <v>2010</v>
      </c>
      <c r="R84" s="87">
        <v>2011</v>
      </c>
      <c r="S84" s="87">
        <v>2012</v>
      </c>
      <c r="T84" s="87">
        <f>+T6</f>
        <v>2013</v>
      </c>
      <c r="U84" s="87">
        <f>+U6</f>
        <v>2014</v>
      </c>
      <c r="V84" s="87">
        <f>+V6</f>
        <v>2015</v>
      </c>
      <c r="W84" s="87">
        <f>+W6</f>
        <v>2016</v>
      </c>
    </row>
    <row r="85" spans="1:23" ht="12.75">
      <c r="A85" s="252" t="s">
        <v>36</v>
      </c>
      <c r="B85" s="252"/>
      <c r="C85" s="252"/>
      <c r="D85" s="171"/>
      <c r="E85" s="64" t="s">
        <v>232</v>
      </c>
      <c r="F85" s="13">
        <v>303</v>
      </c>
      <c r="G85" s="13">
        <v>286</v>
      </c>
      <c r="H85" s="13">
        <v>530.2151</v>
      </c>
      <c r="I85" s="13">
        <v>409.2764</v>
      </c>
      <c r="J85" s="13">
        <v>360</v>
      </c>
      <c r="K85" s="13">
        <v>313</v>
      </c>
      <c r="L85" s="13">
        <v>330</v>
      </c>
      <c r="M85" s="13">
        <v>426</v>
      </c>
      <c r="N85" s="13">
        <v>387</v>
      </c>
      <c r="O85" s="13">
        <v>403</v>
      </c>
      <c r="P85" s="13">
        <v>335</v>
      </c>
      <c r="Q85" s="13">
        <v>234</v>
      </c>
      <c r="R85" s="13">
        <v>859</v>
      </c>
      <c r="S85" s="13">
        <v>2051.8604491</v>
      </c>
      <c r="T85" s="13">
        <v>1827</v>
      </c>
      <c r="U85" s="13">
        <v>1693</v>
      </c>
      <c r="V85" s="13">
        <v>1858.7568514000002</v>
      </c>
      <c r="W85" s="296">
        <v>1745.3223344000003</v>
      </c>
    </row>
    <row r="86" spans="1:23" ht="12.75">
      <c r="A86" s="252" t="s">
        <v>36</v>
      </c>
      <c r="B86" s="252"/>
      <c r="C86" s="252"/>
      <c r="D86" s="171"/>
      <c r="E86" s="64" t="s">
        <v>221</v>
      </c>
      <c r="F86" s="13">
        <v>242</v>
      </c>
      <c r="G86" s="13">
        <v>277</v>
      </c>
      <c r="H86" s="13">
        <v>330</v>
      </c>
      <c r="I86" s="13">
        <v>313</v>
      </c>
      <c r="J86" s="13">
        <v>244</v>
      </c>
      <c r="K86" s="13">
        <v>470</v>
      </c>
      <c r="L86" s="13">
        <v>585</v>
      </c>
      <c r="M86" s="13">
        <v>374</v>
      </c>
      <c r="N86" s="13">
        <v>496</v>
      </c>
      <c r="O86" s="13">
        <v>387</v>
      </c>
      <c r="P86" s="13">
        <v>371</v>
      </c>
      <c r="Q86" s="13">
        <v>468</v>
      </c>
      <c r="R86" s="13">
        <v>451</v>
      </c>
      <c r="S86" s="13">
        <v>450.05135509999997</v>
      </c>
      <c r="T86" s="13">
        <v>318</v>
      </c>
      <c r="U86" s="13">
        <v>307</v>
      </c>
      <c r="V86" s="13">
        <v>243.77769270000002</v>
      </c>
      <c r="W86" s="22">
        <v>174.71915729999998</v>
      </c>
    </row>
    <row r="87" spans="1:23" ht="12.75">
      <c r="A87" s="252" t="s">
        <v>36</v>
      </c>
      <c r="B87" s="252"/>
      <c r="C87" s="252"/>
      <c r="D87" s="171"/>
      <c r="E87" s="64" t="s">
        <v>222</v>
      </c>
      <c r="F87" s="13">
        <v>118</v>
      </c>
      <c r="G87" s="13">
        <v>128</v>
      </c>
      <c r="H87" s="13">
        <v>124.6464</v>
      </c>
      <c r="I87" s="13">
        <v>162.3638</v>
      </c>
      <c r="J87" s="13">
        <v>139</v>
      </c>
      <c r="K87" s="13">
        <v>121</v>
      </c>
      <c r="L87" s="13">
        <v>161</v>
      </c>
      <c r="M87" s="13">
        <v>180</v>
      </c>
      <c r="N87" s="13">
        <v>122</v>
      </c>
      <c r="O87" s="13">
        <v>104</v>
      </c>
      <c r="P87" s="13">
        <v>86</v>
      </c>
      <c r="Q87" s="13">
        <v>72</v>
      </c>
      <c r="R87" s="13">
        <v>49</v>
      </c>
      <c r="S87" s="13">
        <v>83.79638510000001</v>
      </c>
      <c r="T87" s="13">
        <v>52</v>
      </c>
      <c r="U87" s="13">
        <v>92</v>
      </c>
      <c r="V87" s="13">
        <v>104.53539629999999</v>
      </c>
      <c r="W87" s="22">
        <v>63.583926500000004</v>
      </c>
    </row>
    <row r="88" spans="1:23" ht="12.75">
      <c r="A88" s="252" t="s">
        <v>36</v>
      </c>
      <c r="B88" s="252"/>
      <c r="C88" s="252"/>
      <c r="D88" s="171"/>
      <c r="E88" s="64" t="s">
        <v>233</v>
      </c>
      <c r="F88" s="13">
        <v>63</v>
      </c>
      <c r="G88" s="13">
        <v>73</v>
      </c>
      <c r="H88" s="13">
        <v>51.4714</v>
      </c>
      <c r="I88" s="13">
        <v>71.2231</v>
      </c>
      <c r="J88" s="13">
        <v>55</v>
      </c>
      <c r="K88" s="13">
        <v>20</v>
      </c>
      <c r="L88" s="13">
        <v>14</v>
      </c>
      <c r="M88" s="13">
        <v>18</v>
      </c>
      <c r="N88" s="13">
        <v>38</v>
      </c>
      <c r="O88" s="13">
        <v>38</v>
      </c>
      <c r="P88" s="13">
        <v>49</v>
      </c>
      <c r="Q88" s="13">
        <v>39</v>
      </c>
      <c r="R88" s="13">
        <v>46</v>
      </c>
      <c r="S88" s="13">
        <v>33.397012000000004</v>
      </c>
      <c r="T88" s="13">
        <v>31</v>
      </c>
      <c r="U88" s="13">
        <v>45</v>
      </c>
      <c r="V88" s="13">
        <v>56.7706299</v>
      </c>
      <c r="W88" s="22">
        <v>55.2987919</v>
      </c>
    </row>
    <row r="89" spans="1:23" ht="12.75">
      <c r="A89" s="252" t="s">
        <v>36</v>
      </c>
      <c r="B89" s="252"/>
      <c r="C89" s="252"/>
      <c r="D89" s="171"/>
      <c r="E89" s="64" t="s">
        <v>223</v>
      </c>
      <c r="F89" s="13">
        <v>108</v>
      </c>
      <c r="G89" s="13">
        <v>115</v>
      </c>
      <c r="H89" s="13">
        <v>118.26010000000001</v>
      </c>
      <c r="I89" s="13">
        <v>90.2176</v>
      </c>
      <c r="J89" s="13">
        <v>49</v>
      </c>
      <c r="K89" s="13">
        <v>45</v>
      </c>
      <c r="L89" s="13">
        <v>40</v>
      </c>
      <c r="M89" s="13">
        <v>39</v>
      </c>
      <c r="N89" s="13">
        <v>32</v>
      </c>
      <c r="O89" s="13">
        <v>32</v>
      </c>
      <c r="P89" s="13">
        <v>57</v>
      </c>
      <c r="Q89" s="13">
        <v>18</v>
      </c>
      <c r="R89" s="13">
        <v>10</v>
      </c>
      <c r="S89" s="13">
        <v>17.9357091</v>
      </c>
      <c r="T89" s="13">
        <v>10</v>
      </c>
      <c r="U89" s="13">
        <v>10</v>
      </c>
      <c r="V89" s="13">
        <v>70.0568123</v>
      </c>
      <c r="W89" s="22">
        <v>5.0303896</v>
      </c>
    </row>
    <row r="90" spans="1:23" ht="12.75">
      <c r="A90" s="252" t="s">
        <v>36</v>
      </c>
      <c r="B90" s="252"/>
      <c r="C90" s="252"/>
      <c r="D90" s="171"/>
      <c r="E90" s="64" t="s">
        <v>93</v>
      </c>
      <c r="F90" s="13">
        <v>203</v>
      </c>
      <c r="G90" s="13">
        <v>196</v>
      </c>
      <c r="H90" s="13">
        <v>170</v>
      </c>
      <c r="I90" s="13">
        <v>196</v>
      </c>
      <c r="J90" s="13">
        <v>285</v>
      </c>
      <c r="K90" s="13">
        <v>154</v>
      </c>
      <c r="L90" s="13">
        <v>174</v>
      </c>
      <c r="M90" s="13">
        <v>270</v>
      </c>
      <c r="N90" s="13">
        <v>122</v>
      </c>
      <c r="O90" s="13">
        <v>146</v>
      </c>
      <c r="P90" s="13">
        <f>1056-SUM(P85:P89)</f>
        <v>158</v>
      </c>
      <c r="Q90" s="13">
        <f>929-SUM(Q85:Q89)</f>
        <v>98</v>
      </c>
      <c r="R90" s="13">
        <f>1517-SUM(R85:R89)</f>
        <v>102</v>
      </c>
      <c r="S90" s="13">
        <v>174</v>
      </c>
      <c r="T90" s="13">
        <v>166</v>
      </c>
      <c r="U90" s="13">
        <v>169</v>
      </c>
      <c r="V90" s="13">
        <v>145.57594999999998</v>
      </c>
      <c r="W90" s="22">
        <v>106.96116849999997</v>
      </c>
    </row>
    <row r="91" spans="1:23" s="62" customFormat="1" ht="12.75">
      <c r="A91" s="264" t="s">
        <v>27</v>
      </c>
      <c r="B91" s="264" t="s">
        <v>39</v>
      </c>
      <c r="C91" s="264"/>
      <c r="E91" s="59" t="s">
        <v>224</v>
      </c>
      <c r="F91" s="14">
        <v>1037</v>
      </c>
      <c r="G91" s="14">
        <v>1075</v>
      </c>
      <c r="H91" s="14">
        <v>1324.5929999999998</v>
      </c>
      <c r="I91" s="14">
        <v>1242.0809</v>
      </c>
      <c r="J91" s="14">
        <f aca="true" t="shared" si="9" ref="J91:Q91">SUM(J85:J90)</f>
        <v>1132</v>
      </c>
      <c r="K91" s="14">
        <f t="shared" si="9"/>
        <v>1123</v>
      </c>
      <c r="L91" s="14">
        <f t="shared" si="9"/>
        <v>1304</v>
      </c>
      <c r="M91" s="14">
        <f t="shared" si="9"/>
        <v>1307</v>
      </c>
      <c r="N91" s="14">
        <f t="shared" si="9"/>
        <v>1197</v>
      </c>
      <c r="O91" s="14">
        <f t="shared" si="9"/>
        <v>1110</v>
      </c>
      <c r="P91" s="14">
        <f t="shared" si="9"/>
        <v>1056</v>
      </c>
      <c r="Q91" s="14">
        <f t="shared" si="9"/>
        <v>929</v>
      </c>
      <c r="R91" s="14">
        <f>SUM(R85:R90)</f>
        <v>1517</v>
      </c>
      <c r="S91" s="14">
        <f>SUM(S85:S90)</f>
        <v>2811.0409104</v>
      </c>
      <c r="T91" s="14">
        <f>SUM(T85:T90)</f>
        <v>2404</v>
      </c>
      <c r="U91" s="14">
        <f>SUM(U85:U90)</f>
        <v>2316</v>
      </c>
      <c r="V91" s="14">
        <f>SUM(V85:V90)</f>
        <v>2479.4733326</v>
      </c>
      <c r="W91" s="63">
        <v>2150.9157682</v>
      </c>
    </row>
    <row r="92" spans="1:23" ht="12.75">
      <c r="A92" s="252" t="s">
        <v>38</v>
      </c>
      <c r="B92" s="252"/>
      <c r="C92" s="252"/>
      <c r="E92" s="64"/>
      <c r="F92" s="65"/>
      <c r="G92" s="65"/>
      <c r="H92" s="65"/>
      <c r="I92" s="65"/>
      <c r="J92" s="13"/>
      <c r="K92" s="13"/>
      <c r="L92" s="13"/>
      <c r="M92" s="13"/>
      <c r="N92" s="13"/>
      <c r="O92" s="13"/>
      <c r="P92" s="14"/>
      <c r="Q92" s="14"/>
      <c r="R92" s="14"/>
      <c r="S92" s="14"/>
      <c r="T92" s="14"/>
      <c r="U92" s="14"/>
      <c r="V92" s="14"/>
      <c r="W92" s="63"/>
    </row>
    <row r="93" spans="1:23" ht="12.75">
      <c r="A93" s="252" t="s">
        <v>35</v>
      </c>
      <c r="B93" s="252"/>
      <c r="C93" s="252"/>
      <c r="E93" s="59" t="s">
        <v>225</v>
      </c>
      <c r="F93" s="67">
        <v>1999</v>
      </c>
      <c r="G93" s="67">
        <v>2000</v>
      </c>
      <c r="H93" s="67">
        <v>2001</v>
      </c>
      <c r="I93" s="67">
        <v>2002</v>
      </c>
      <c r="J93" s="67">
        <v>2003</v>
      </c>
      <c r="K93" s="67">
        <v>2004</v>
      </c>
      <c r="L93" s="67">
        <v>2005</v>
      </c>
      <c r="M93" s="67">
        <v>2006</v>
      </c>
      <c r="N93" s="67">
        <v>2007</v>
      </c>
      <c r="O93" s="67">
        <v>2008</v>
      </c>
      <c r="P93" s="67">
        <v>2009</v>
      </c>
      <c r="Q93" s="67">
        <v>2010</v>
      </c>
      <c r="R93" s="67">
        <v>2011</v>
      </c>
      <c r="S93" s="67">
        <v>2012</v>
      </c>
      <c r="T93" s="67">
        <f>+T6</f>
        <v>2013</v>
      </c>
      <c r="U93" s="67">
        <f>+U6</f>
        <v>2014</v>
      </c>
      <c r="V93" s="67">
        <f>+V6</f>
        <v>2015</v>
      </c>
      <c r="W93" s="63">
        <v>2016</v>
      </c>
    </row>
    <row r="94" spans="1:23" ht="12.75">
      <c r="A94" s="252" t="s">
        <v>36</v>
      </c>
      <c r="B94" s="252"/>
      <c r="C94" s="252"/>
      <c r="E94" s="64" t="s">
        <v>226</v>
      </c>
      <c r="F94" s="13">
        <v>803</v>
      </c>
      <c r="G94" s="13">
        <v>801</v>
      </c>
      <c r="H94" s="13">
        <v>4745.6398</v>
      </c>
      <c r="I94" s="13">
        <v>4983.9388</v>
      </c>
      <c r="J94" s="13">
        <v>4727</v>
      </c>
      <c r="K94" s="13">
        <v>4879</v>
      </c>
      <c r="L94" s="13">
        <v>4964</v>
      </c>
      <c r="M94" s="13">
        <v>4319</v>
      </c>
      <c r="N94" s="13">
        <v>4488</v>
      </c>
      <c r="O94" s="13">
        <v>4462</v>
      </c>
      <c r="P94" s="13">
        <v>5290</v>
      </c>
      <c r="Q94" s="13">
        <v>5514</v>
      </c>
      <c r="R94" s="13">
        <v>5285</v>
      </c>
      <c r="S94" s="13">
        <v>5091.630652400001</v>
      </c>
      <c r="T94" s="13">
        <v>4711</v>
      </c>
      <c r="U94" s="13">
        <v>4418</v>
      </c>
      <c r="V94" s="13">
        <v>4733.8841309</v>
      </c>
      <c r="W94" s="22">
        <v>4857.6435002</v>
      </c>
    </row>
    <row r="95" spans="1:23" ht="12.75">
      <c r="A95" s="252" t="s">
        <v>36</v>
      </c>
      <c r="B95" s="252"/>
      <c r="C95" s="252"/>
      <c r="E95" s="64" t="s">
        <v>227</v>
      </c>
      <c r="F95" s="13">
        <v>196</v>
      </c>
      <c r="G95" s="13">
        <v>177</v>
      </c>
      <c r="H95" s="13">
        <v>497.0736</v>
      </c>
      <c r="I95" s="13">
        <v>592.03</v>
      </c>
      <c r="J95" s="13">
        <v>597</v>
      </c>
      <c r="K95" s="13">
        <v>690</v>
      </c>
      <c r="L95" s="13">
        <v>686</v>
      </c>
      <c r="M95" s="13">
        <v>485</v>
      </c>
      <c r="N95" s="13">
        <v>493</v>
      </c>
      <c r="O95" s="13">
        <v>414</v>
      </c>
      <c r="P95" s="13">
        <v>391</v>
      </c>
      <c r="Q95" s="13">
        <v>433</v>
      </c>
      <c r="R95" s="13">
        <v>375</v>
      </c>
      <c r="S95" s="13">
        <v>378.0602811</v>
      </c>
      <c r="T95" s="13">
        <v>377</v>
      </c>
      <c r="U95" s="13">
        <v>422</v>
      </c>
      <c r="V95" s="13">
        <v>489.6539172</v>
      </c>
      <c r="W95" s="22">
        <v>563.1935779</v>
      </c>
    </row>
    <row r="96" spans="1:23" ht="12.75">
      <c r="A96" s="252" t="s">
        <v>36</v>
      </c>
      <c r="B96" s="252"/>
      <c r="C96" s="252"/>
      <c r="E96" s="64" t="s">
        <v>93</v>
      </c>
      <c r="F96" s="13">
        <v>34</v>
      </c>
      <c r="G96" s="13">
        <v>40</v>
      </c>
      <c r="H96" s="13">
        <v>42</v>
      </c>
      <c r="I96" s="13">
        <v>51</v>
      </c>
      <c r="J96" s="13">
        <v>52</v>
      </c>
      <c r="K96" s="13">
        <v>48</v>
      </c>
      <c r="L96" s="13">
        <v>63</v>
      </c>
      <c r="M96" s="13">
        <v>43</v>
      </c>
      <c r="N96" s="13">
        <v>45</v>
      </c>
      <c r="O96" s="13">
        <v>40</v>
      </c>
      <c r="P96" s="13">
        <f>5725-SUM(P94:P95)</f>
        <v>44</v>
      </c>
      <c r="Q96" s="13">
        <f>5983-SUM(Q94:Q95)</f>
        <v>36</v>
      </c>
      <c r="R96" s="13">
        <f>(6209-508)-SUM(R94:R95)</f>
        <v>41</v>
      </c>
      <c r="S96" s="13">
        <v>49</v>
      </c>
      <c r="T96" s="13">
        <v>40</v>
      </c>
      <c r="U96" s="13">
        <v>44</v>
      </c>
      <c r="V96" s="13">
        <v>22.6407612</v>
      </c>
      <c r="W96" s="22">
        <v>25.428499099999996</v>
      </c>
    </row>
    <row r="97" spans="1:23" s="62" customFormat="1" ht="12.75">
      <c r="A97" s="264" t="s">
        <v>27</v>
      </c>
      <c r="B97" s="264" t="s">
        <v>39</v>
      </c>
      <c r="C97" s="264"/>
      <c r="E97" s="59" t="s">
        <v>228</v>
      </c>
      <c r="F97" s="14">
        <v>1033</v>
      </c>
      <c r="G97" s="14">
        <v>1018</v>
      </c>
      <c r="H97" s="14">
        <v>5284.7134</v>
      </c>
      <c r="I97" s="14">
        <v>5626.9688</v>
      </c>
      <c r="J97" s="14">
        <f aca="true" t="shared" si="10" ref="J97:Q97">SUM(J94:J96)</f>
        <v>5376</v>
      </c>
      <c r="K97" s="14">
        <f t="shared" si="10"/>
        <v>5617</v>
      </c>
      <c r="L97" s="14">
        <f t="shared" si="10"/>
        <v>5713</v>
      </c>
      <c r="M97" s="14">
        <f t="shared" si="10"/>
        <v>4847</v>
      </c>
      <c r="N97" s="14">
        <f t="shared" si="10"/>
        <v>5026</v>
      </c>
      <c r="O97" s="14">
        <f t="shared" si="10"/>
        <v>4916</v>
      </c>
      <c r="P97" s="14">
        <f t="shared" si="10"/>
        <v>5725</v>
      </c>
      <c r="Q97" s="14">
        <f t="shared" si="10"/>
        <v>5983</v>
      </c>
      <c r="R97" s="14">
        <f>SUM(R94:R96)</f>
        <v>5701</v>
      </c>
      <c r="S97" s="14">
        <f>SUM(S94:S96)</f>
        <v>5518.690933500001</v>
      </c>
      <c r="T97" s="14">
        <f>SUM(T94:T96)</f>
        <v>5128</v>
      </c>
      <c r="U97" s="14">
        <f>SUM(U94:U96)</f>
        <v>4884</v>
      </c>
      <c r="V97" s="14">
        <f>SUM(V94:V96)</f>
        <v>5246.1788093000005</v>
      </c>
      <c r="W97" s="63">
        <v>5446.2655772</v>
      </c>
    </row>
    <row r="98" spans="1:23" ht="12.75">
      <c r="A98" s="252" t="s">
        <v>38</v>
      </c>
      <c r="B98" s="252"/>
      <c r="C98" s="252"/>
      <c r="E98" s="64"/>
      <c r="F98" s="65"/>
      <c r="G98" s="65"/>
      <c r="H98" s="65"/>
      <c r="I98" s="65"/>
      <c r="J98" s="65"/>
      <c r="K98" s="65"/>
      <c r="L98" s="65"/>
      <c r="M98" s="65"/>
      <c r="N98" s="65"/>
      <c r="O98" s="65"/>
      <c r="P98" s="67"/>
      <c r="Q98" s="67"/>
      <c r="R98" s="67"/>
      <c r="S98" s="67"/>
      <c r="T98" s="67"/>
      <c r="U98" s="67"/>
      <c r="V98" s="67"/>
      <c r="W98" s="63"/>
    </row>
    <row r="99" spans="1:23" s="31" customFormat="1" ht="12.75">
      <c r="A99" s="245" t="s">
        <v>35</v>
      </c>
      <c r="B99" s="245"/>
      <c r="C99" s="245"/>
      <c r="E99" s="136" t="s">
        <v>229</v>
      </c>
      <c r="F99" s="87">
        <v>1999</v>
      </c>
      <c r="G99" s="87">
        <v>2000</v>
      </c>
      <c r="H99" s="87">
        <v>2001</v>
      </c>
      <c r="I99" s="87">
        <v>2002</v>
      </c>
      <c r="J99" s="87">
        <v>2003</v>
      </c>
      <c r="K99" s="87">
        <v>2004</v>
      </c>
      <c r="L99" s="87">
        <v>2005</v>
      </c>
      <c r="M99" s="87">
        <v>2006</v>
      </c>
      <c r="N99" s="87">
        <v>2007</v>
      </c>
      <c r="O99" s="87">
        <v>2008</v>
      </c>
      <c r="P99" s="87">
        <v>2009</v>
      </c>
      <c r="Q99" s="87">
        <v>2010</v>
      </c>
      <c r="R99" s="87">
        <v>2011</v>
      </c>
      <c r="S99" s="87">
        <v>2012</v>
      </c>
      <c r="T99" s="87">
        <f>+T6</f>
        <v>2013</v>
      </c>
      <c r="U99" s="87">
        <f>+U6</f>
        <v>2014</v>
      </c>
      <c r="V99" s="87">
        <f>+V6</f>
        <v>2015</v>
      </c>
      <c r="W99" s="87">
        <f>+W6</f>
        <v>2016</v>
      </c>
    </row>
    <row r="100" spans="1:23" s="62" customFormat="1" ht="12.75">
      <c r="A100" s="264" t="s">
        <v>27</v>
      </c>
      <c r="B100" s="266" t="s">
        <v>285</v>
      </c>
      <c r="C100" s="264"/>
      <c r="E100" s="59" t="s">
        <v>27</v>
      </c>
      <c r="F100" s="14">
        <v>119550</v>
      </c>
      <c r="G100" s="14">
        <v>124493</v>
      </c>
      <c r="H100" s="14">
        <v>135803.23129999998</v>
      </c>
      <c r="I100" s="14">
        <v>133149.85129999998</v>
      </c>
      <c r="J100" s="14">
        <v>124077</v>
      </c>
      <c r="K100" s="14">
        <v>120651</v>
      </c>
      <c r="L100" s="14">
        <v>129469</v>
      </c>
      <c r="M100" s="14">
        <f>+M97+M91+M82+M62+M48+M43</f>
        <v>103848</v>
      </c>
      <c r="N100" s="14">
        <f>+N97+N91+N82+N62+N48+N43</f>
        <v>104732</v>
      </c>
      <c r="O100" s="14">
        <f aca="true" t="shared" si="11" ref="O100:V100">+O43+O48+O62+O82+O91+O97</f>
        <v>104792</v>
      </c>
      <c r="P100" s="14">
        <f t="shared" si="11"/>
        <v>109132</v>
      </c>
      <c r="Q100" s="14">
        <f t="shared" si="11"/>
        <v>106326</v>
      </c>
      <c r="R100" s="14">
        <f t="shared" si="11"/>
        <v>101598</v>
      </c>
      <c r="S100" s="14">
        <f t="shared" si="11"/>
        <v>109994.0456438</v>
      </c>
      <c r="T100" s="14">
        <f t="shared" si="11"/>
        <v>109151</v>
      </c>
      <c r="U100" s="14">
        <f t="shared" si="11"/>
        <v>112143</v>
      </c>
      <c r="V100" s="14">
        <f t="shared" si="11"/>
        <v>123510.9139168</v>
      </c>
      <c r="W100" s="297">
        <v>121093.22745260001</v>
      </c>
    </row>
    <row r="101" spans="1:16" ht="12.75">
      <c r="A101" s="252" t="s">
        <v>38</v>
      </c>
      <c r="B101" s="252"/>
      <c r="C101" s="252"/>
      <c r="E101" s="64"/>
      <c r="F101" s="68"/>
      <c r="G101" s="68"/>
      <c r="H101" s="65"/>
      <c r="I101" s="65"/>
      <c r="J101" s="68"/>
      <c r="K101" s="13"/>
      <c r="L101" s="13"/>
      <c r="M101" s="13"/>
      <c r="N101" s="14"/>
      <c r="O101" s="13"/>
      <c r="P101" s="14"/>
    </row>
    <row r="102" spans="1:16" ht="12.75">
      <c r="A102" s="252" t="s">
        <v>76</v>
      </c>
      <c r="B102" s="252"/>
      <c r="C102" s="252"/>
      <c r="E102" s="64" t="s">
        <v>234</v>
      </c>
      <c r="F102" s="85"/>
      <c r="G102" s="85"/>
      <c r="H102" s="85"/>
      <c r="I102" s="85"/>
      <c r="J102" s="85"/>
      <c r="K102" s="85"/>
      <c r="L102" s="85"/>
      <c r="M102" s="85"/>
      <c r="N102" s="85"/>
      <c r="O102" s="84"/>
      <c r="P102" s="69"/>
    </row>
  </sheetData>
  <sheetProtection/>
  <printOptions/>
  <pageMargins left="0.75" right="0.75" top="1" bottom="1" header="0.5" footer="0.5"/>
  <pageSetup fitToHeight="2" horizontalDpi="600" verticalDpi="600" orientation="portrait" scale="49" r:id="rId1"/>
</worksheet>
</file>

<file path=xl/worksheets/sheet26.xml><?xml version="1.0" encoding="utf-8"?>
<worksheet xmlns="http://schemas.openxmlformats.org/spreadsheetml/2006/main" xmlns:r="http://schemas.openxmlformats.org/officeDocument/2006/relationships">
  <sheetPr>
    <pageSetUpPr fitToPage="1"/>
  </sheetPr>
  <dimension ref="A1:X105"/>
  <sheetViews>
    <sheetView zoomScaleSheetLayoutView="80" zoomScalePageLayoutView="0" workbookViewId="0" topLeftCell="A73">
      <selection activeCell="A1" sqref="A1"/>
    </sheetView>
  </sheetViews>
  <sheetFormatPr defaultColWidth="11.421875" defaultRowHeight="12.75"/>
  <cols>
    <col min="1" max="1" width="12.8515625" style="252" bestFit="1" customWidth="1"/>
    <col min="2" max="2" width="12.421875" style="53" bestFit="1" customWidth="1"/>
    <col min="3" max="3" width="11.421875" style="60" bestFit="1" customWidth="1"/>
    <col min="4" max="4" width="44.140625" style="60" hidden="1" customWidth="1"/>
    <col min="5" max="5" width="26.421875" style="60" customWidth="1"/>
    <col min="6" max="6" width="15.57421875" style="64" hidden="1" customWidth="1"/>
    <col min="7" max="7" width="14.00390625" style="64" hidden="1" customWidth="1"/>
    <col min="8" max="12" width="10.421875" style="60" hidden="1" customWidth="1"/>
    <col min="13" max="13" width="11.421875" style="60" customWidth="1"/>
    <col min="14" max="14" width="11.421875" style="53" customWidth="1"/>
    <col min="15" max="15" width="10.00390625" style="53" customWidth="1"/>
    <col min="16" max="16" width="11.421875" style="60" customWidth="1"/>
    <col min="17" max="20" width="11.421875" style="53" customWidth="1"/>
    <col min="21" max="21" width="9.8515625" style="53" bestFit="1" customWidth="1"/>
    <col min="22" max="16384" width="11.421875" style="53" customWidth="1"/>
  </cols>
  <sheetData>
    <row r="1" spans="1:16" s="60" customFormat="1" ht="15.75" customHeight="1">
      <c r="A1" s="249">
        <v>42735</v>
      </c>
      <c r="B1" s="97" t="s">
        <v>141</v>
      </c>
      <c r="C1" s="98"/>
      <c r="D1" s="99" t="str">
        <f>Company</f>
        <v>AB Electrolux</v>
      </c>
      <c r="E1" s="99" t="str">
        <f>Company</f>
        <v>AB Electrolux</v>
      </c>
      <c r="O1" s="62"/>
      <c r="P1" s="62"/>
    </row>
    <row r="2" spans="1:16" s="60" customFormat="1" ht="15.75" customHeight="1">
      <c r="A2" s="250"/>
      <c r="B2" s="97" t="s">
        <v>143</v>
      </c>
      <c r="C2" s="98"/>
      <c r="D2" s="100">
        <f>A1</f>
        <v>42735</v>
      </c>
      <c r="E2" s="101">
        <f>+'Income_statement-Y'!E2</f>
        <v>42004</v>
      </c>
      <c r="O2" s="62"/>
      <c r="P2" s="62"/>
    </row>
    <row r="3" spans="1:16" s="60" customFormat="1" ht="15.75" customHeight="1">
      <c r="A3" s="250"/>
      <c r="B3" s="97" t="s">
        <v>144</v>
      </c>
      <c r="C3" s="98" t="s">
        <v>145</v>
      </c>
      <c r="D3" s="102" t="s">
        <v>146</v>
      </c>
      <c r="E3" s="102" t="s">
        <v>147</v>
      </c>
      <c r="H3" s="61"/>
      <c r="O3" s="62"/>
      <c r="P3" s="62"/>
    </row>
    <row r="4" spans="1:16" ht="16.5" customHeight="1">
      <c r="A4" s="252" t="s">
        <v>34</v>
      </c>
      <c r="B4" s="97" t="s">
        <v>148</v>
      </c>
      <c r="C4" s="58"/>
      <c r="D4" s="59" t="s">
        <v>331</v>
      </c>
      <c r="E4" s="59" t="s">
        <v>578</v>
      </c>
      <c r="F4" s="60"/>
      <c r="G4" s="60"/>
      <c r="N4" s="60"/>
      <c r="O4" s="62"/>
      <c r="P4" s="53"/>
    </row>
    <row r="5" spans="2:16" ht="12.75">
      <c r="B5" s="97" t="s">
        <v>150</v>
      </c>
      <c r="C5" s="58"/>
      <c r="D5" s="59"/>
      <c r="E5" s="59"/>
      <c r="F5" s="154"/>
      <c r="G5" s="154"/>
      <c r="H5" s="154"/>
      <c r="I5" s="154"/>
      <c r="J5" s="155"/>
      <c r="K5" s="154"/>
      <c r="L5" s="154"/>
      <c r="M5" s="154"/>
      <c r="N5" s="154"/>
      <c r="O5" s="155"/>
      <c r="P5" s="154"/>
    </row>
    <row r="6" spans="1:24" s="41" customFormat="1" ht="12.75">
      <c r="A6" s="245" t="s">
        <v>35</v>
      </c>
      <c r="B6" s="113" t="s">
        <v>149</v>
      </c>
      <c r="C6" s="156"/>
      <c r="D6" s="136"/>
      <c r="E6" s="136"/>
      <c r="F6" s="154">
        <v>1999</v>
      </c>
      <c r="G6" s="154">
        <v>2000</v>
      </c>
      <c r="H6" s="154">
        <v>2001</v>
      </c>
      <c r="I6" s="154">
        <v>2002</v>
      </c>
      <c r="J6" s="155">
        <v>2003</v>
      </c>
      <c r="K6" s="154">
        <v>2004</v>
      </c>
      <c r="L6" s="154">
        <v>2005</v>
      </c>
      <c r="M6" s="154">
        <v>2005</v>
      </c>
      <c r="N6" s="154">
        <v>2006</v>
      </c>
      <c r="O6" s="155">
        <v>2007</v>
      </c>
      <c r="P6" s="154">
        <v>2008</v>
      </c>
      <c r="Q6" s="162">
        <v>2009</v>
      </c>
      <c r="R6" s="162">
        <v>2010</v>
      </c>
      <c r="S6" s="162">
        <v>2011</v>
      </c>
      <c r="T6" s="162">
        <v>2012</v>
      </c>
      <c r="U6" s="162">
        <v>2013</v>
      </c>
      <c r="V6" s="162">
        <v>2014</v>
      </c>
      <c r="W6" s="162">
        <v>2015</v>
      </c>
      <c r="X6" s="162">
        <v>2016</v>
      </c>
    </row>
    <row r="7" spans="1:24" s="80" customFormat="1" ht="26.25">
      <c r="A7" s="260" t="s">
        <v>571</v>
      </c>
      <c r="B7" s="265"/>
      <c r="C7" s="263"/>
      <c r="D7" s="267"/>
      <c r="E7" s="128"/>
      <c r="M7" s="268" t="s">
        <v>151</v>
      </c>
      <c r="O7" s="261"/>
      <c r="P7" s="261"/>
      <c r="Q7" s="261"/>
      <c r="R7" s="261"/>
      <c r="S7" s="261"/>
      <c r="T7" s="261"/>
      <c r="U7" s="261"/>
      <c r="V7" s="261"/>
      <c r="W7" s="261"/>
      <c r="X7" s="261"/>
    </row>
    <row r="8" spans="1:24" s="41" customFormat="1" ht="12.75">
      <c r="A8" s="245" t="s">
        <v>35</v>
      </c>
      <c r="B8" s="245"/>
      <c r="C8" s="245"/>
      <c r="D8" s="136"/>
      <c r="E8" s="136" t="s">
        <v>152</v>
      </c>
      <c r="K8" s="31"/>
      <c r="L8" s="31"/>
      <c r="M8" s="31"/>
      <c r="N8" s="31"/>
      <c r="O8" s="269"/>
      <c r="P8" s="269"/>
      <c r="Q8" s="269"/>
      <c r="R8" s="269"/>
      <c r="S8" s="269"/>
      <c r="T8" s="269"/>
      <c r="U8" s="269"/>
      <c r="V8" s="269"/>
      <c r="W8" s="269"/>
      <c r="X8" s="269"/>
    </row>
    <row r="9" spans="1:24" ht="12.75">
      <c r="A9" s="252" t="s">
        <v>36</v>
      </c>
      <c r="B9" s="257"/>
      <c r="C9" s="252"/>
      <c r="D9" s="64"/>
      <c r="E9" s="64" t="s">
        <v>153</v>
      </c>
      <c r="F9" s="13">
        <v>12959</v>
      </c>
      <c r="G9" s="13">
        <v>12587</v>
      </c>
      <c r="H9" s="13">
        <v>12188.58</v>
      </c>
      <c r="I9" s="13">
        <v>11385.24</v>
      </c>
      <c r="J9" s="13">
        <v>10271</v>
      </c>
      <c r="K9" s="13">
        <v>9090</v>
      </c>
      <c r="L9" s="13">
        <v>8553</v>
      </c>
      <c r="M9" s="13">
        <v>8184</v>
      </c>
      <c r="N9" s="13">
        <v>8102</v>
      </c>
      <c r="O9" s="22">
        <v>8036</v>
      </c>
      <c r="P9" s="22">
        <v>7515</v>
      </c>
      <c r="Q9" s="22">
        <v>6870</v>
      </c>
      <c r="R9" s="22">
        <v>6210</v>
      </c>
      <c r="S9" s="48">
        <v>5804</v>
      </c>
      <c r="T9" s="48">
        <v>5715</v>
      </c>
      <c r="U9" s="48">
        <v>5654</v>
      </c>
      <c r="V9" s="48">
        <v>5359</v>
      </c>
      <c r="W9" s="48">
        <v>5183</v>
      </c>
      <c r="X9" s="48">
        <v>5181</v>
      </c>
    </row>
    <row r="10" spans="1:24" ht="12.75">
      <c r="A10" s="252" t="s">
        <v>36</v>
      </c>
      <c r="B10" s="257"/>
      <c r="C10" s="252"/>
      <c r="D10" s="64"/>
      <c r="E10" s="64" t="s">
        <v>154</v>
      </c>
      <c r="F10" s="13">
        <v>8881</v>
      </c>
      <c r="G10" s="13">
        <v>8159</v>
      </c>
      <c r="H10" s="13">
        <v>7271.5</v>
      </c>
      <c r="I10" s="13">
        <v>6586</v>
      </c>
      <c r="J10" s="13">
        <v>6635</v>
      </c>
      <c r="K10" s="13">
        <v>6546</v>
      </c>
      <c r="L10" s="13">
        <v>5905</v>
      </c>
      <c r="M10" s="13">
        <v>3451</v>
      </c>
      <c r="N10" s="13">
        <v>3080</v>
      </c>
      <c r="O10" s="22">
        <v>3025</v>
      </c>
      <c r="P10" s="22">
        <v>2865</v>
      </c>
      <c r="Q10" s="22">
        <v>2445</v>
      </c>
      <c r="R10" s="22">
        <v>2296</v>
      </c>
      <c r="S10" s="48">
        <v>2184</v>
      </c>
      <c r="T10" s="48">
        <v>2049</v>
      </c>
      <c r="U10" s="48">
        <v>2082</v>
      </c>
      <c r="V10" s="48">
        <v>2054</v>
      </c>
      <c r="W10" s="48">
        <v>2027</v>
      </c>
      <c r="X10" s="48">
        <v>2076</v>
      </c>
    </row>
    <row r="11" spans="1:24" ht="12.75">
      <c r="A11" s="252" t="s">
        <v>36</v>
      </c>
      <c r="B11" s="257"/>
      <c r="C11" s="252"/>
      <c r="D11" s="64"/>
      <c r="E11" s="64" t="s">
        <v>155</v>
      </c>
      <c r="F11" s="13">
        <v>7713</v>
      </c>
      <c r="G11" s="13">
        <v>7482</v>
      </c>
      <c r="H11" s="13">
        <v>7444.74</v>
      </c>
      <c r="I11" s="13">
        <v>5686.24</v>
      </c>
      <c r="J11" s="13">
        <v>4689</v>
      </c>
      <c r="K11" s="13">
        <v>4299</v>
      </c>
      <c r="L11" s="13">
        <v>3900</v>
      </c>
      <c r="M11" s="13">
        <v>3780</v>
      </c>
      <c r="N11" s="13">
        <v>2872</v>
      </c>
      <c r="O11" s="22">
        <v>2147</v>
      </c>
      <c r="P11" s="22">
        <v>2141</v>
      </c>
      <c r="Q11" s="22">
        <v>1984</v>
      </c>
      <c r="R11" s="22">
        <v>1783</v>
      </c>
      <c r="S11" s="48">
        <v>1740</v>
      </c>
      <c r="T11" s="48">
        <v>1725</v>
      </c>
      <c r="U11" s="48">
        <v>1724</v>
      </c>
      <c r="V11" s="48">
        <v>1663</v>
      </c>
      <c r="W11" s="48">
        <v>1651</v>
      </c>
      <c r="X11" s="48">
        <v>1686</v>
      </c>
    </row>
    <row r="12" spans="1:24" ht="12.75">
      <c r="A12" s="252" t="s">
        <v>36</v>
      </c>
      <c r="B12" s="257"/>
      <c r="C12" s="252"/>
      <c r="D12" s="64"/>
      <c r="E12" s="64" t="s">
        <v>156</v>
      </c>
      <c r="F12" s="13">
        <v>3273</v>
      </c>
      <c r="G12" s="13">
        <v>3110</v>
      </c>
      <c r="H12" s="13">
        <v>2946.44</v>
      </c>
      <c r="I12" s="13">
        <v>2976.72</v>
      </c>
      <c r="J12" s="13">
        <v>2553</v>
      </c>
      <c r="K12" s="13">
        <v>1680</v>
      </c>
      <c r="L12" s="13">
        <v>1643</v>
      </c>
      <c r="M12" s="13">
        <v>1423</v>
      </c>
      <c r="N12" s="13">
        <v>1079</v>
      </c>
      <c r="O12" s="22">
        <v>892</v>
      </c>
      <c r="P12" s="22">
        <v>838</v>
      </c>
      <c r="Q12" s="22">
        <v>738</v>
      </c>
      <c r="R12" s="22">
        <v>562</v>
      </c>
      <c r="S12" s="48">
        <v>358</v>
      </c>
      <c r="T12" s="48">
        <v>298</v>
      </c>
      <c r="U12" s="48">
        <v>298</v>
      </c>
      <c r="V12" s="48">
        <v>239</v>
      </c>
      <c r="W12" s="48">
        <v>214</v>
      </c>
      <c r="X12" s="48">
        <v>214</v>
      </c>
    </row>
    <row r="13" spans="1:24" ht="12.75">
      <c r="A13" s="252" t="s">
        <v>36</v>
      </c>
      <c r="B13" s="257"/>
      <c r="C13" s="252"/>
      <c r="D13" s="64"/>
      <c r="E13" s="64" t="s">
        <v>157</v>
      </c>
      <c r="F13" s="13">
        <v>2470</v>
      </c>
      <c r="G13" s="13">
        <v>2383</v>
      </c>
      <c r="H13" s="13">
        <v>2182.48</v>
      </c>
      <c r="I13" s="13">
        <v>2174.92</v>
      </c>
      <c r="J13" s="13">
        <v>2210</v>
      </c>
      <c r="K13" s="13">
        <v>2134</v>
      </c>
      <c r="L13" s="13">
        <v>1925</v>
      </c>
      <c r="M13" s="13">
        <v>1681</v>
      </c>
      <c r="N13" s="13">
        <v>1526</v>
      </c>
      <c r="O13" s="22">
        <v>1466</v>
      </c>
      <c r="P13" s="22">
        <v>1386</v>
      </c>
      <c r="Q13" s="22">
        <v>1280</v>
      </c>
      <c r="R13" s="22">
        <v>1182</v>
      </c>
      <c r="S13" s="48">
        <v>1105</v>
      </c>
      <c r="T13" s="48">
        <v>1055</v>
      </c>
      <c r="U13" s="48">
        <v>1014</v>
      </c>
      <c r="V13" s="48">
        <v>900</v>
      </c>
      <c r="W13" s="48">
        <v>590</v>
      </c>
      <c r="X13" s="48">
        <v>585</v>
      </c>
    </row>
    <row r="14" spans="1:24" ht="12.75">
      <c r="A14" s="252" t="s">
        <v>36</v>
      </c>
      <c r="B14" s="257"/>
      <c r="C14" s="252"/>
      <c r="D14" s="64"/>
      <c r="E14" s="64" t="s">
        <v>158</v>
      </c>
      <c r="F14" s="13">
        <v>3059</v>
      </c>
      <c r="G14" s="13">
        <v>2825</v>
      </c>
      <c r="H14" s="13">
        <v>2425</v>
      </c>
      <c r="I14" s="13">
        <v>2257</v>
      </c>
      <c r="J14" s="13">
        <v>2134</v>
      </c>
      <c r="K14" s="13">
        <v>1946</v>
      </c>
      <c r="L14" s="13">
        <v>1722</v>
      </c>
      <c r="M14" s="13">
        <v>1286</v>
      </c>
      <c r="N14" s="13">
        <v>1180</v>
      </c>
      <c r="O14" s="22">
        <v>1122</v>
      </c>
      <c r="P14" s="22">
        <v>891</v>
      </c>
      <c r="Q14" s="22">
        <v>459</v>
      </c>
      <c r="R14" s="22">
        <v>387</v>
      </c>
      <c r="S14" s="48">
        <v>404</v>
      </c>
      <c r="T14" s="48">
        <v>394</v>
      </c>
      <c r="U14" s="48">
        <v>402</v>
      </c>
      <c r="V14" s="48">
        <v>406</v>
      </c>
      <c r="W14" s="48">
        <v>402</v>
      </c>
      <c r="X14" s="48">
        <v>405</v>
      </c>
    </row>
    <row r="15" spans="1:24" ht="12.75">
      <c r="A15" s="252" t="s">
        <v>36</v>
      </c>
      <c r="B15" s="257"/>
      <c r="C15" s="252"/>
      <c r="D15" s="64"/>
      <c r="E15" s="64" t="s">
        <v>159</v>
      </c>
      <c r="F15" s="13">
        <v>2661</v>
      </c>
      <c r="G15" s="13">
        <v>2393</v>
      </c>
      <c r="H15" s="13">
        <v>2097.9</v>
      </c>
      <c r="I15" s="13">
        <v>1963.6</v>
      </c>
      <c r="J15" s="13">
        <v>1463</v>
      </c>
      <c r="K15" s="13">
        <v>807</v>
      </c>
      <c r="L15" s="13">
        <v>735</v>
      </c>
      <c r="M15" s="13">
        <v>697</v>
      </c>
      <c r="N15" s="13">
        <v>601</v>
      </c>
      <c r="O15" s="22">
        <v>456</v>
      </c>
      <c r="P15" s="22">
        <v>311</v>
      </c>
      <c r="Q15" s="22">
        <v>256</v>
      </c>
      <c r="R15" s="22">
        <v>231</v>
      </c>
      <c r="S15" s="48">
        <v>204</v>
      </c>
      <c r="T15" s="48">
        <v>195</v>
      </c>
      <c r="U15" s="48">
        <v>189</v>
      </c>
      <c r="V15" s="48">
        <v>176</v>
      </c>
      <c r="W15" s="48">
        <v>169</v>
      </c>
      <c r="X15" s="48">
        <v>166</v>
      </c>
    </row>
    <row r="16" spans="1:24" ht="12.75">
      <c r="A16" s="252" t="s">
        <v>36</v>
      </c>
      <c r="B16" s="257"/>
      <c r="C16" s="252"/>
      <c r="D16" s="64"/>
      <c r="E16" s="64" t="s">
        <v>160</v>
      </c>
      <c r="F16" s="13">
        <v>1140</v>
      </c>
      <c r="G16" s="13">
        <v>1106</v>
      </c>
      <c r="H16" s="13">
        <v>1055.42</v>
      </c>
      <c r="I16" s="13">
        <v>1021.94</v>
      </c>
      <c r="J16" s="13">
        <v>1024</v>
      </c>
      <c r="K16" s="13">
        <v>1028</v>
      </c>
      <c r="L16" s="13">
        <v>1003</v>
      </c>
      <c r="M16" s="13">
        <v>948</v>
      </c>
      <c r="N16" s="13">
        <v>928</v>
      </c>
      <c r="O16" s="22">
        <v>927</v>
      </c>
      <c r="P16" s="22">
        <v>947</v>
      </c>
      <c r="Q16" s="22">
        <v>929</v>
      </c>
      <c r="R16" s="22">
        <v>875</v>
      </c>
      <c r="S16" s="48">
        <v>834</v>
      </c>
      <c r="T16" s="48">
        <v>820</v>
      </c>
      <c r="U16" s="48">
        <v>844</v>
      </c>
      <c r="V16" s="48">
        <v>784</v>
      </c>
      <c r="W16" s="48">
        <v>694</v>
      </c>
      <c r="X16" s="48">
        <v>595</v>
      </c>
    </row>
    <row r="17" spans="1:24" ht="12.75">
      <c r="A17" s="252" t="s">
        <v>36</v>
      </c>
      <c r="B17" s="257"/>
      <c r="C17" s="252"/>
      <c r="D17" s="64"/>
      <c r="E17" s="64" t="s">
        <v>161</v>
      </c>
      <c r="F17" s="13">
        <v>237</v>
      </c>
      <c r="G17" s="13">
        <v>281</v>
      </c>
      <c r="H17" s="13">
        <v>299.2</v>
      </c>
      <c r="I17" s="13">
        <v>708.62</v>
      </c>
      <c r="J17" s="13">
        <v>686</v>
      </c>
      <c r="K17" s="13">
        <v>576</v>
      </c>
      <c r="L17" s="13">
        <v>554</v>
      </c>
      <c r="M17" s="13">
        <v>327</v>
      </c>
      <c r="N17" s="13">
        <v>317</v>
      </c>
      <c r="O17" s="22">
        <v>316</v>
      </c>
      <c r="P17" s="22">
        <v>324</v>
      </c>
      <c r="Q17" s="22">
        <v>316</v>
      </c>
      <c r="R17" s="22">
        <v>317</v>
      </c>
      <c r="S17" s="48">
        <v>320</v>
      </c>
      <c r="T17" s="48">
        <v>276</v>
      </c>
      <c r="U17" s="48">
        <v>220</v>
      </c>
      <c r="V17" s="48">
        <v>192</v>
      </c>
      <c r="W17" s="48">
        <v>183</v>
      </c>
      <c r="X17" s="48">
        <v>186</v>
      </c>
    </row>
    <row r="18" spans="1:24" ht="12.75">
      <c r="A18" s="252" t="s">
        <v>36</v>
      </c>
      <c r="B18" s="257"/>
      <c r="C18" s="252"/>
      <c r="D18" s="64"/>
      <c r="E18" s="64" t="s">
        <v>162</v>
      </c>
      <c r="F18" s="13">
        <v>847</v>
      </c>
      <c r="G18" s="13">
        <v>773</v>
      </c>
      <c r="H18" s="13">
        <v>779.48</v>
      </c>
      <c r="I18" s="13">
        <v>821.42</v>
      </c>
      <c r="J18" s="13">
        <v>632</v>
      </c>
      <c r="K18" s="13">
        <v>242</v>
      </c>
      <c r="L18" s="13">
        <v>235</v>
      </c>
      <c r="M18" s="13">
        <v>162</v>
      </c>
      <c r="N18" s="13">
        <v>175</v>
      </c>
      <c r="O18" s="22">
        <v>164</v>
      </c>
      <c r="P18" s="22">
        <v>159</v>
      </c>
      <c r="Q18" s="22">
        <v>172</v>
      </c>
      <c r="R18" s="22">
        <v>149</v>
      </c>
      <c r="S18" s="48">
        <v>134</v>
      </c>
      <c r="T18" s="48">
        <v>118</v>
      </c>
      <c r="U18" s="48">
        <v>115</v>
      </c>
      <c r="V18" s="48">
        <v>116</v>
      </c>
      <c r="W18" s="48">
        <v>112</v>
      </c>
      <c r="X18" s="48">
        <v>108</v>
      </c>
    </row>
    <row r="19" spans="1:24" ht="12.75">
      <c r="A19" s="252" t="s">
        <v>36</v>
      </c>
      <c r="B19" s="257"/>
      <c r="C19" s="252"/>
      <c r="D19" s="64"/>
      <c r="E19" s="64" t="s">
        <v>163</v>
      </c>
      <c r="F19" s="13">
        <v>737</v>
      </c>
      <c r="G19" s="13">
        <v>539</v>
      </c>
      <c r="H19" s="13">
        <v>475.64</v>
      </c>
      <c r="I19" s="13">
        <v>456.2</v>
      </c>
      <c r="J19" s="13">
        <v>432</v>
      </c>
      <c r="K19" s="13">
        <v>409</v>
      </c>
      <c r="L19" s="13">
        <v>361</v>
      </c>
      <c r="M19" s="13">
        <v>348</v>
      </c>
      <c r="N19" s="13">
        <v>323</v>
      </c>
      <c r="O19" s="22">
        <v>318</v>
      </c>
      <c r="P19" s="22">
        <v>311</v>
      </c>
      <c r="Q19" s="22">
        <v>288</v>
      </c>
      <c r="R19" s="22">
        <v>281</v>
      </c>
      <c r="S19" s="48">
        <v>271</v>
      </c>
      <c r="T19" s="48">
        <v>267</v>
      </c>
      <c r="U19" s="48">
        <v>263</v>
      </c>
      <c r="V19" s="48">
        <v>253</v>
      </c>
      <c r="W19" s="48">
        <v>244</v>
      </c>
      <c r="X19" s="48">
        <v>240</v>
      </c>
    </row>
    <row r="20" spans="1:24" ht="12.75">
      <c r="A20" s="252" t="s">
        <v>36</v>
      </c>
      <c r="B20" s="257"/>
      <c r="C20" s="252"/>
      <c r="D20" s="64"/>
      <c r="E20" s="64" t="s">
        <v>164</v>
      </c>
      <c r="F20" s="13">
        <v>362</v>
      </c>
      <c r="G20" s="13">
        <v>285</v>
      </c>
      <c r="H20" s="13">
        <v>259.84</v>
      </c>
      <c r="I20" s="13">
        <v>317.52</v>
      </c>
      <c r="J20" s="13">
        <v>367</v>
      </c>
      <c r="K20" s="13">
        <v>377</v>
      </c>
      <c r="L20" s="13">
        <v>324</v>
      </c>
      <c r="M20" s="13">
        <v>257</v>
      </c>
      <c r="N20" s="13">
        <v>220</v>
      </c>
      <c r="O20" s="22">
        <v>208</v>
      </c>
      <c r="P20" s="22">
        <v>166</v>
      </c>
      <c r="Q20" s="22">
        <v>123</v>
      </c>
      <c r="R20" s="22">
        <v>115</v>
      </c>
      <c r="S20" s="48">
        <v>113</v>
      </c>
      <c r="T20" s="48">
        <v>111</v>
      </c>
      <c r="U20" s="48">
        <v>111</v>
      </c>
      <c r="V20" s="48">
        <v>113</v>
      </c>
      <c r="W20" s="48">
        <v>115</v>
      </c>
      <c r="X20" s="48">
        <v>111</v>
      </c>
    </row>
    <row r="21" spans="1:24" ht="12.75">
      <c r="A21" s="252" t="s">
        <v>36</v>
      </c>
      <c r="B21" s="257"/>
      <c r="C21" s="252"/>
      <c r="D21" s="64"/>
      <c r="E21" s="64" t="s">
        <v>165</v>
      </c>
      <c r="F21" s="13">
        <v>89</v>
      </c>
      <c r="G21" s="13">
        <v>94</v>
      </c>
      <c r="H21" s="13">
        <v>93.4</v>
      </c>
      <c r="I21" s="13">
        <v>109.18</v>
      </c>
      <c r="J21" s="13">
        <v>285</v>
      </c>
      <c r="K21" s="13">
        <v>262</v>
      </c>
      <c r="L21" s="13">
        <v>254</v>
      </c>
      <c r="M21" s="13">
        <v>88</v>
      </c>
      <c r="N21" s="13">
        <v>87</v>
      </c>
      <c r="O21" s="22">
        <v>89</v>
      </c>
      <c r="P21" s="22">
        <v>84</v>
      </c>
      <c r="Q21" s="22">
        <v>72</v>
      </c>
      <c r="R21" s="22">
        <v>69</v>
      </c>
      <c r="S21" s="48">
        <v>68</v>
      </c>
      <c r="T21" s="48">
        <v>62</v>
      </c>
      <c r="U21" s="48">
        <v>58</v>
      </c>
      <c r="V21" s="48">
        <v>50</v>
      </c>
      <c r="W21" s="48">
        <v>44</v>
      </c>
      <c r="X21" s="48">
        <v>41</v>
      </c>
    </row>
    <row r="22" spans="1:24" ht="12.75">
      <c r="A22" s="252" t="s">
        <v>36</v>
      </c>
      <c r="B22" s="257"/>
      <c r="C22" s="252"/>
      <c r="D22" s="64"/>
      <c r="E22" s="64" t="s">
        <v>166</v>
      </c>
      <c r="F22" s="13">
        <v>618</v>
      </c>
      <c r="G22" s="13">
        <v>462</v>
      </c>
      <c r="H22" s="13">
        <v>430.36</v>
      </c>
      <c r="I22" s="13">
        <v>356.46</v>
      </c>
      <c r="J22" s="13">
        <v>279</v>
      </c>
      <c r="K22" s="13">
        <v>239</v>
      </c>
      <c r="L22" s="13">
        <v>217</v>
      </c>
      <c r="M22" s="13">
        <v>93</v>
      </c>
      <c r="N22" s="13">
        <v>86</v>
      </c>
      <c r="O22" s="22">
        <v>72</v>
      </c>
      <c r="P22" s="22">
        <v>62</v>
      </c>
      <c r="Q22" s="22">
        <v>58</v>
      </c>
      <c r="R22" s="22">
        <v>59</v>
      </c>
      <c r="S22" s="48">
        <v>58</v>
      </c>
      <c r="T22" s="48">
        <v>55</v>
      </c>
      <c r="U22" s="48">
        <v>55</v>
      </c>
      <c r="V22" s="48">
        <v>55</v>
      </c>
      <c r="W22" s="48">
        <v>55</v>
      </c>
      <c r="X22" s="48">
        <v>56</v>
      </c>
    </row>
    <row r="23" spans="1:24" ht="12.75">
      <c r="A23" s="252" t="s">
        <v>36</v>
      </c>
      <c r="B23" s="257"/>
      <c r="C23" s="252"/>
      <c r="D23" s="64"/>
      <c r="E23" s="64" t="s">
        <v>167</v>
      </c>
      <c r="F23" s="13">
        <v>136</v>
      </c>
      <c r="G23" s="13">
        <v>125</v>
      </c>
      <c r="H23" s="13">
        <v>121.2</v>
      </c>
      <c r="I23" s="13">
        <v>138.2</v>
      </c>
      <c r="J23" s="13">
        <v>151</v>
      </c>
      <c r="K23" s="13">
        <v>151</v>
      </c>
      <c r="L23" s="13">
        <v>139</v>
      </c>
      <c r="M23" s="13">
        <v>136</v>
      </c>
      <c r="N23" s="13">
        <v>120</v>
      </c>
      <c r="O23" s="22">
        <v>117</v>
      </c>
      <c r="P23" s="22">
        <v>117</v>
      </c>
      <c r="Q23" s="22">
        <v>49</v>
      </c>
      <c r="R23" s="22">
        <v>28</v>
      </c>
      <c r="S23" s="48">
        <v>22</v>
      </c>
      <c r="T23" s="48">
        <v>21</v>
      </c>
      <c r="U23" s="48">
        <v>21</v>
      </c>
      <c r="V23" s="48">
        <v>20</v>
      </c>
      <c r="W23" s="48">
        <v>20</v>
      </c>
      <c r="X23" s="48">
        <v>20</v>
      </c>
    </row>
    <row r="24" spans="1:24" ht="12.75">
      <c r="A24" s="252" t="s">
        <v>36</v>
      </c>
      <c r="B24" s="257"/>
      <c r="C24" s="252"/>
      <c r="D24" s="64"/>
      <c r="E24" s="64" t="s">
        <v>168</v>
      </c>
      <c r="F24" s="13">
        <v>61</v>
      </c>
      <c r="G24" s="13">
        <v>59</v>
      </c>
      <c r="H24" s="13">
        <v>51.22</v>
      </c>
      <c r="I24" s="13">
        <v>60.32</v>
      </c>
      <c r="J24" s="13">
        <v>139</v>
      </c>
      <c r="K24" s="13">
        <v>142</v>
      </c>
      <c r="L24" s="13">
        <v>149</v>
      </c>
      <c r="M24" s="13">
        <v>46</v>
      </c>
      <c r="N24" s="13">
        <v>41</v>
      </c>
      <c r="O24" s="22">
        <v>41</v>
      </c>
      <c r="P24" s="22">
        <v>41</v>
      </c>
      <c r="Q24" s="22">
        <v>39</v>
      </c>
      <c r="R24" s="22">
        <v>37</v>
      </c>
      <c r="S24" s="48">
        <v>39</v>
      </c>
      <c r="T24" s="48">
        <v>38</v>
      </c>
      <c r="U24" s="48">
        <v>43</v>
      </c>
      <c r="V24" s="48">
        <v>37</v>
      </c>
      <c r="W24" s="48">
        <v>29</v>
      </c>
      <c r="X24" s="48">
        <v>29</v>
      </c>
    </row>
    <row r="25" spans="1:24" ht="12.75">
      <c r="A25" s="252" t="s">
        <v>36</v>
      </c>
      <c r="B25" s="257"/>
      <c r="C25" s="252"/>
      <c r="D25" s="64"/>
      <c r="E25" s="64" t="s">
        <v>169</v>
      </c>
      <c r="F25" s="13">
        <v>196</v>
      </c>
      <c r="G25" s="13">
        <v>206</v>
      </c>
      <c r="H25" s="13">
        <v>149.54</v>
      </c>
      <c r="I25" s="13">
        <v>48.3</v>
      </c>
      <c r="J25" s="13">
        <v>48</v>
      </c>
      <c r="K25" s="13">
        <v>47</v>
      </c>
      <c r="L25" s="13">
        <v>51</v>
      </c>
      <c r="M25" s="13">
        <v>51</v>
      </c>
      <c r="N25" s="13">
        <v>45</v>
      </c>
      <c r="O25" s="22">
        <v>38</v>
      </c>
      <c r="P25" s="22">
        <v>39</v>
      </c>
      <c r="Q25" s="22">
        <v>38</v>
      </c>
      <c r="R25" s="22">
        <v>34</v>
      </c>
      <c r="S25" s="48">
        <v>31</v>
      </c>
      <c r="T25" s="48">
        <v>29</v>
      </c>
      <c r="U25" s="48">
        <v>27</v>
      </c>
      <c r="V25" s="48">
        <v>27</v>
      </c>
      <c r="W25" s="48">
        <v>28</v>
      </c>
      <c r="X25" s="48">
        <v>28</v>
      </c>
    </row>
    <row r="26" spans="1:24" s="62" customFormat="1" ht="12.75">
      <c r="A26" s="264" t="s">
        <v>27</v>
      </c>
      <c r="B26" s="264" t="s">
        <v>39</v>
      </c>
      <c r="C26" s="264"/>
      <c r="D26" s="59"/>
      <c r="E26" s="59" t="s">
        <v>170</v>
      </c>
      <c r="F26" s="14">
        <f aca="true" t="shared" si="0" ref="F26:R26">SUM(F9:F25)</f>
        <v>45439</v>
      </c>
      <c r="G26" s="14">
        <f t="shared" si="0"/>
        <v>42869</v>
      </c>
      <c r="H26" s="14">
        <f t="shared" si="0"/>
        <v>40271.939999999995</v>
      </c>
      <c r="I26" s="14">
        <f t="shared" si="0"/>
        <v>37067.87999999999</v>
      </c>
      <c r="J26" s="14">
        <f t="shared" si="0"/>
        <v>33998</v>
      </c>
      <c r="K26" s="14">
        <f t="shared" si="0"/>
        <v>29975</v>
      </c>
      <c r="L26" s="14">
        <f t="shared" si="0"/>
        <v>27670</v>
      </c>
      <c r="M26" s="14">
        <f t="shared" si="0"/>
        <v>22958</v>
      </c>
      <c r="N26" s="14">
        <f t="shared" si="0"/>
        <v>20782</v>
      </c>
      <c r="O26" s="14">
        <f t="shared" si="0"/>
        <v>19434</v>
      </c>
      <c r="P26" s="14">
        <f t="shared" si="0"/>
        <v>18197</v>
      </c>
      <c r="Q26" s="14">
        <f t="shared" si="0"/>
        <v>16116</v>
      </c>
      <c r="R26" s="14">
        <f t="shared" si="0"/>
        <v>14615</v>
      </c>
      <c r="S26" s="14">
        <f aca="true" t="shared" si="1" ref="S26:X26">SUM(S9:S25)</f>
        <v>13689</v>
      </c>
      <c r="T26" s="14">
        <f t="shared" si="1"/>
        <v>13228</v>
      </c>
      <c r="U26" s="14">
        <f t="shared" si="1"/>
        <v>13120</v>
      </c>
      <c r="V26" s="14">
        <f t="shared" si="1"/>
        <v>12444</v>
      </c>
      <c r="W26" s="14">
        <f t="shared" si="1"/>
        <v>11760</v>
      </c>
      <c r="X26" s="14">
        <f t="shared" si="1"/>
        <v>11727</v>
      </c>
    </row>
    <row r="27" spans="1:24" ht="12.75">
      <c r="A27" s="252" t="s">
        <v>38</v>
      </c>
      <c r="B27" s="252"/>
      <c r="C27" s="252"/>
      <c r="D27" s="64"/>
      <c r="E27" s="64"/>
      <c r="F27" s="60"/>
      <c r="G27" s="60"/>
      <c r="N27" s="60"/>
      <c r="O27" s="22"/>
      <c r="P27" s="22"/>
      <c r="Q27" s="22"/>
      <c r="R27" s="22"/>
      <c r="S27" s="22"/>
      <c r="T27" s="22"/>
      <c r="U27" s="22"/>
      <c r="V27" s="22"/>
      <c r="W27" s="22"/>
      <c r="X27" s="22"/>
    </row>
    <row r="28" spans="1:24" s="126" customFormat="1" ht="12.75">
      <c r="A28" s="256" t="s">
        <v>35</v>
      </c>
      <c r="B28" s="256"/>
      <c r="C28" s="256"/>
      <c r="D28" s="136"/>
      <c r="E28" s="136" t="s">
        <v>171</v>
      </c>
      <c r="F28" s="126">
        <v>1999</v>
      </c>
      <c r="G28" s="126">
        <v>2000</v>
      </c>
      <c r="H28" s="126">
        <v>2001</v>
      </c>
      <c r="I28" s="126">
        <v>2002</v>
      </c>
      <c r="J28" s="126">
        <v>2003</v>
      </c>
      <c r="K28" s="126">
        <v>2004</v>
      </c>
      <c r="L28" s="126">
        <v>2005</v>
      </c>
      <c r="M28" s="87">
        <v>2005</v>
      </c>
      <c r="N28" s="126">
        <v>2006</v>
      </c>
      <c r="O28" s="272">
        <v>2007</v>
      </c>
      <c r="P28" s="272">
        <v>2008</v>
      </c>
      <c r="Q28" s="272">
        <v>2009</v>
      </c>
      <c r="R28" s="272">
        <v>2010</v>
      </c>
      <c r="S28" s="272">
        <v>2011</v>
      </c>
      <c r="T28" s="272">
        <v>2012</v>
      </c>
      <c r="U28" s="272">
        <f>+U6</f>
        <v>2013</v>
      </c>
      <c r="V28" s="272">
        <f>+V6</f>
        <v>2014</v>
      </c>
      <c r="W28" s="272">
        <f>+W6</f>
        <v>2015</v>
      </c>
      <c r="X28" s="272">
        <f>+X6</f>
        <v>2016</v>
      </c>
    </row>
    <row r="29" spans="1:24" s="80" customFormat="1" ht="26.25">
      <c r="A29" s="260" t="s">
        <v>571</v>
      </c>
      <c r="B29" s="265"/>
      <c r="C29" s="263"/>
      <c r="D29" s="128"/>
      <c r="E29" s="128"/>
      <c r="M29" s="268" t="s">
        <v>151</v>
      </c>
      <c r="O29" s="273"/>
      <c r="P29" s="273"/>
      <c r="Q29" s="273"/>
      <c r="R29" s="273"/>
      <c r="S29" s="273"/>
      <c r="T29" s="273"/>
      <c r="U29" s="273"/>
      <c r="V29" s="273"/>
      <c r="W29" s="273"/>
      <c r="X29" s="273"/>
    </row>
    <row r="30" spans="1:24" ht="12.75">
      <c r="A30" s="252" t="s">
        <v>36</v>
      </c>
      <c r="B30" s="252"/>
      <c r="C30" s="252"/>
      <c r="D30" s="64"/>
      <c r="E30" s="64" t="s">
        <v>172</v>
      </c>
      <c r="F30" s="13">
        <v>3957</v>
      </c>
      <c r="G30" s="13">
        <v>4434</v>
      </c>
      <c r="H30" s="13">
        <v>4246.6</v>
      </c>
      <c r="I30" s="13">
        <v>3432.82</v>
      </c>
      <c r="J30" s="13">
        <v>3187</v>
      </c>
      <c r="K30" s="13">
        <v>3021</v>
      </c>
      <c r="L30" s="13">
        <v>3252</v>
      </c>
      <c r="M30" s="13">
        <v>3227</v>
      </c>
      <c r="N30" s="13">
        <v>3857</v>
      </c>
      <c r="O30" s="22">
        <v>4368</v>
      </c>
      <c r="P30" s="22">
        <v>4073</v>
      </c>
      <c r="Q30" s="22">
        <v>3594</v>
      </c>
      <c r="R30" s="22">
        <v>3236</v>
      </c>
      <c r="S30" s="48">
        <v>2742</v>
      </c>
      <c r="T30" s="48">
        <v>3000</v>
      </c>
      <c r="U30" s="48">
        <v>3091</v>
      </c>
      <c r="V30" s="48">
        <v>2780</v>
      </c>
      <c r="W30" s="48">
        <v>2638</v>
      </c>
      <c r="X30" s="48">
        <v>2746</v>
      </c>
    </row>
    <row r="31" spans="1:24" ht="12.75">
      <c r="A31" s="252" t="s">
        <v>36</v>
      </c>
      <c r="B31" s="252"/>
      <c r="C31" s="252"/>
      <c r="D31" s="64"/>
      <c r="E31" s="64" t="s">
        <v>173</v>
      </c>
      <c r="F31" s="13">
        <v>1507</v>
      </c>
      <c r="G31" s="13">
        <v>1323</v>
      </c>
      <c r="H31" s="13">
        <v>1278</v>
      </c>
      <c r="I31" s="13">
        <v>1112.8</v>
      </c>
      <c r="J31" s="13">
        <v>1357</v>
      </c>
      <c r="K31" s="13">
        <v>1536</v>
      </c>
      <c r="L31" s="13">
        <v>1769</v>
      </c>
      <c r="M31" s="13">
        <v>1769</v>
      </c>
      <c r="N31" s="13">
        <v>1826</v>
      </c>
      <c r="O31" s="22">
        <v>1709</v>
      </c>
      <c r="P31" s="22">
        <v>1797</v>
      </c>
      <c r="Q31" s="22">
        <v>1554</v>
      </c>
      <c r="R31" s="22">
        <v>1224</v>
      </c>
      <c r="S31" s="48">
        <v>1008</v>
      </c>
      <c r="T31" s="48">
        <v>903</v>
      </c>
      <c r="U31" s="48">
        <v>886</v>
      </c>
      <c r="V31" s="48">
        <v>776</v>
      </c>
      <c r="W31" s="48">
        <v>775</v>
      </c>
      <c r="X31" s="48">
        <v>818</v>
      </c>
    </row>
    <row r="32" spans="1:24" ht="12.75">
      <c r="A32" s="252" t="s">
        <v>36</v>
      </c>
      <c r="B32" s="252"/>
      <c r="C32" s="252"/>
      <c r="D32" s="64"/>
      <c r="E32" s="64" t="s">
        <v>174</v>
      </c>
      <c r="F32" s="13">
        <v>202</v>
      </c>
      <c r="G32" s="13">
        <v>204</v>
      </c>
      <c r="H32" s="13">
        <v>317.2</v>
      </c>
      <c r="I32" s="13">
        <v>392.2</v>
      </c>
      <c r="J32" s="13">
        <v>447</v>
      </c>
      <c r="K32" s="13">
        <v>550</v>
      </c>
      <c r="L32" s="13">
        <v>874</v>
      </c>
      <c r="M32" s="13">
        <v>821</v>
      </c>
      <c r="N32" s="13">
        <v>1585</v>
      </c>
      <c r="O32" s="22">
        <v>2671</v>
      </c>
      <c r="P32" s="22">
        <v>3419</v>
      </c>
      <c r="Q32" s="22">
        <v>3417</v>
      </c>
      <c r="R32" s="22">
        <v>3577</v>
      </c>
      <c r="S32" s="48">
        <v>3751</v>
      </c>
      <c r="T32" s="48">
        <v>3875</v>
      </c>
      <c r="U32" s="48">
        <v>3886</v>
      </c>
      <c r="V32" s="48">
        <v>4196</v>
      </c>
      <c r="W32" s="48">
        <v>4803</v>
      </c>
      <c r="X32" s="48">
        <v>5036</v>
      </c>
    </row>
    <row r="33" spans="1:24" ht="12.75">
      <c r="A33" s="252" t="s">
        <v>36</v>
      </c>
      <c r="B33" s="252"/>
      <c r="C33" s="252"/>
      <c r="D33" s="64"/>
      <c r="E33" s="64" t="s">
        <v>175</v>
      </c>
      <c r="F33" s="13">
        <v>250</v>
      </c>
      <c r="G33" s="13">
        <v>129</v>
      </c>
      <c r="H33" s="13">
        <v>129.2</v>
      </c>
      <c r="I33" s="13">
        <v>132.6</v>
      </c>
      <c r="J33" s="13">
        <v>132</v>
      </c>
      <c r="K33" s="13">
        <v>130</v>
      </c>
      <c r="L33" s="13">
        <v>131</v>
      </c>
      <c r="M33" s="13">
        <v>91</v>
      </c>
      <c r="N33" s="13">
        <v>84</v>
      </c>
      <c r="O33" s="22">
        <v>80</v>
      </c>
      <c r="P33" s="22">
        <v>78</v>
      </c>
      <c r="Q33" s="22">
        <v>57</v>
      </c>
      <c r="R33" s="22">
        <v>44</v>
      </c>
      <c r="S33" s="48">
        <v>45</v>
      </c>
      <c r="T33" s="48">
        <v>41</v>
      </c>
      <c r="U33" s="48">
        <v>42</v>
      </c>
      <c r="V33" s="48">
        <v>42</v>
      </c>
      <c r="W33" s="48">
        <v>41</v>
      </c>
      <c r="X33" s="48">
        <v>48</v>
      </c>
    </row>
    <row r="34" spans="1:24" ht="12.75">
      <c r="A34" s="252" t="s">
        <v>36</v>
      </c>
      <c r="B34" s="252"/>
      <c r="C34" s="252"/>
      <c r="D34" s="64"/>
      <c r="E34" s="64" t="s">
        <v>176</v>
      </c>
      <c r="F34" s="13">
        <v>79</v>
      </c>
      <c r="G34" s="13">
        <v>94</v>
      </c>
      <c r="H34" s="13">
        <v>106.2</v>
      </c>
      <c r="I34" s="13">
        <v>88.4</v>
      </c>
      <c r="J34" s="13">
        <v>95</v>
      </c>
      <c r="K34" s="13">
        <v>116</v>
      </c>
      <c r="L34" s="13">
        <v>210</v>
      </c>
      <c r="M34" s="13">
        <v>159</v>
      </c>
      <c r="N34" s="13">
        <v>365</v>
      </c>
      <c r="O34" s="22">
        <v>390</v>
      </c>
      <c r="P34" s="22">
        <v>366</v>
      </c>
      <c r="Q34" s="22">
        <v>349</v>
      </c>
      <c r="R34" s="22">
        <v>157</v>
      </c>
      <c r="S34" s="48">
        <v>101</v>
      </c>
      <c r="T34" s="48">
        <v>122</v>
      </c>
      <c r="U34" s="48">
        <v>149</v>
      </c>
      <c r="V34" s="48">
        <v>144</v>
      </c>
      <c r="W34" s="48">
        <v>134</v>
      </c>
      <c r="X34" s="48">
        <v>133</v>
      </c>
    </row>
    <row r="35" spans="1:24" ht="12.75">
      <c r="A35" s="252" t="s">
        <v>36</v>
      </c>
      <c r="B35" s="252"/>
      <c r="C35" s="252"/>
      <c r="D35" s="64"/>
      <c r="E35" s="64" t="s">
        <v>177</v>
      </c>
      <c r="F35" s="13">
        <v>116</v>
      </c>
      <c r="G35" s="13">
        <v>91</v>
      </c>
      <c r="H35" s="13">
        <v>88</v>
      </c>
      <c r="I35" s="13">
        <v>90.2</v>
      </c>
      <c r="J35" s="13">
        <v>95</v>
      </c>
      <c r="K35" s="13">
        <v>101</v>
      </c>
      <c r="L35" s="13">
        <v>94</v>
      </c>
      <c r="M35" s="53">
        <f>16+17+14</f>
        <v>47</v>
      </c>
      <c r="N35" s="13">
        <f>15+15+14</f>
        <v>44</v>
      </c>
      <c r="O35" s="22">
        <v>39</v>
      </c>
      <c r="P35" s="22">
        <f>14+13+16</f>
        <v>43</v>
      </c>
      <c r="Q35" s="22">
        <v>39</v>
      </c>
      <c r="R35" s="22">
        <v>36</v>
      </c>
      <c r="S35" s="22">
        <v>40</v>
      </c>
      <c r="T35" s="22">
        <v>38</v>
      </c>
      <c r="U35" s="22">
        <v>40</v>
      </c>
      <c r="V35" s="22">
        <v>39</v>
      </c>
      <c r="W35" s="22">
        <v>40</v>
      </c>
      <c r="X35" s="22">
        <v>38</v>
      </c>
    </row>
    <row r="36" spans="1:24" ht="12.75">
      <c r="A36" s="252" t="s">
        <v>36</v>
      </c>
      <c r="B36" s="252"/>
      <c r="C36" s="252"/>
      <c r="D36" s="64"/>
      <c r="E36" s="64" t="s">
        <v>178</v>
      </c>
      <c r="F36" s="13">
        <v>142</v>
      </c>
      <c r="G36" s="13">
        <v>116</v>
      </c>
      <c r="H36" s="13">
        <v>103.08</v>
      </c>
      <c r="I36" s="13">
        <v>94</v>
      </c>
      <c r="J36" s="13">
        <v>72</v>
      </c>
      <c r="K36" s="13">
        <v>66</v>
      </c>
      <c r="L36" s="13">
        <v>65</v>
      </c>
      <c r="M36" s="13">
        <v>65</v>
      </c>
      <c r="N36" s="13">
        <v>65</v>
      </c>
      <c r="O36" s="22">
        <v>63</v>
      </c>
      <c r="P36" s="22">
        <v>60</v>
      </c>
      <c r="Q36" s="22">
        <v>56</v>
      </c>
      <c r="R36" s="22">
        <v>50</v>
      </c>
      <c r="S36" s="48">
        <v>51</v>
      </c>
      <c r="T36" s="48">
        <v>58</v>
      </c>
      <c r="U36" s="48">
        <v>63</v>
      </c>
      <c r="V36" s="48">
        <v>64</v>
      </c>
      <c r="W36" s="48">
        <v>65</v>
      </c>
      <c r="X36" s="48">
        <v>70</v>
      </c>
    </row>
    <row r="37" spans="1:24" ht="12.75">
      <c r="A37" s="252" t="s">
        <v>36</v>
      </c>
      <c r="B37" s="252"/>
      <c r="C37" s="252"/>
      <c r="D37" s="64"/>
      <c r="E37" s="64" t="s">
        <v>179</v>
      </c>
      <c r="F37" s="13">
        <v>260</v>
      </c>
      <c r="G37" s="13">
        <v>343</v>
      </c>
      <c r="H37" s="13">
        <v>298.76</v>
      </c>
      <c r="I37" s="13">
        <v>122.8</v>
      </c>
      <c r="J37" s="13">
        <v>60</v>
      </c>
      <c r="K37" s="13">
        <v>60</v>
      </c>
      <c r="L37" s="13">
        <v>59</v>
      </c>
      <c r="M37" s="13">
        <v>40</v>
      </c>
      <c r="N37" s="13">
        <v>37</v>
      </c>
      <c r="O37" s="22">
        <v>35</v>
      </c>
      <c r="P37" s="22">
        <v>37</v>
      </c>
      <c r="Q37" s="22">
        <v>46</v>
      </c>
      <c r="R37" s="22">
        <v>43</v>
      </c>
      <c r="S37" s="48">
        <v>45</v>
      </c>
      <c r="T37" s="48">
        <v>45</v>
      </c>
      <c r="U37" s="48">
        <v>46</v>
      </c>
      <c r="V37" s="48">
        <v>47</v>
      </c>
      <c r="W37" s="48">
        <v>46</v>
      </c>
      <c r="X37" s="48">
        <v>45</v>
      </c>
    </row>
    <row r="38" spans="1:24" ht="12.75">
      <c r="A38" s="252" t="s">
        <v>36</v>
      </c>
      <c r="B38" s="252"/>
      <c r="C38" s="252"/>
      <c r="D38" s="64"/>
      <c r="E38" s="64" t="s">
        <v>180</v>
      </c>
      <c r="F38" s="13">
        <v>20</v>
      </c>
      <c r="G38" s="13">
        <v>17</v>
      </c>
      <c r="H38" s="13">
        <v>12</v>
      </c>
      <c r="I38" s="13">
        <v>16.2</v>
      </c>
      <c r="J38" s="13">
        <v>17</v>
      </c>
      <c r="K38" s="13">
        <v>17</v>
      </c>
      <c r="L38" s="13">
        <v>15</v>
      </c>
      <c r="M38" s="14" t="s">
        <v>30</v>
      </c>
      <c r="N38" s="13" t="s">
        <v>30</v>
      </c>
      <c r="O38" s="13" t="s">
        <v>30</v>
      </c>
      <c r="P38" s="13" t="s">
        <v>30</v>
      </c>
      <c r="Q38" s="13" t="s">
        <v>30</v>
      </c>
      <c r="R38" s="13" t="s">
        <v>30</v>
      </c>
      <c r="S38" s="13" t="s">
        <v>30</v>
      </c>
      <c r="T38" s="13" t="s">
        <v>30</v>
      </c>
      <c r="U38" s="13" t="s">
        <v>30</v>
      </c>
      <c r="V38" s="13" t="s">
        <v>30</v>
      </c>
      <c r="W38" s="13" t="s">
        <v>30</v>
      </c>
      <c r="X38" s="13"/>
    </row>
    <row r="39" spans="1:24" ht="12.75">
      <c r="A39" s="252" t="s">
        <v>36</v>
      </c>
      <c r="B39" s="252"/>
      <c r="C39" s="252"/>
      <c r="D39" s="64"/>
      <c r="E39" s="64" t="s">
        <v>181</v>
      </c>
      <c r="F39" s="13">
        <v>27</v>
      </c>
      <c r="G39" s="13">
        <v>18</v>
      </c>
      <c r="H39" s="13">
        <v>15</v>
      </c>
      <c r="I39" s="13">
        <v>15.8</v>
      </c>
      <c r="J39" s="13">
        <v>16</v>
      </c>
      <c r="K39" s="13">
        <v>14</v>
      </c>
      <c r="L39" s="13">
        <v>12</v>
      </c>
      <c r="M39" s="13">
        <v>12</v>
      </c>
      <c r="N39" s="13">
        <v>13</v>
      </c>
      <c r="O39" s="22">
        <v>12</v>
      </c>
      <c r="P39" s="22">
        <v>13</v>
      </c>
      <c r="Q39" s="22">
        <v>14</v>
      </c>
      <c r="R39" s="22">
        <v>13</v>
      </c>
      <c r="S39" s="48">
        <v>14</v>
      </c>
      <c r="T39" s="48">
        <v>14</v>
      </c>
      <c r="U39" s="48">
        <v>17</v>
      </c>
      <c r="V39" s="48">
        <v>13</v>
      </c>
      <c r="W39" s="48">
        <v>7</v>
      </c>
      <c r="X39" s="48">
        <v>4</v>
      </c>
    </row>
    <row r="40" spans="1:24" ht="12.75">
      <c r="A40" s="252" t="s">
        <v>36</v>
      </c>
      <c r="B40" s="252"/>
      <c r="C40" s="252"/>
      <c r="D40" s="64"/>
      <c r="E40" s="64" t="s">
        <v>182</v>
      </c>
      <c r="F40" s="13">
        <v>4</v>
      </c>
      <c r="G40" s="13" t="s">
        <v>30</v>
      </c>
      <c r="H40" s="13" t="s">
        <v>30</v>
      </c>
      <c r="I40" s="13" t="s">
        <v>30</v>
      </c>
      <c r="J40" s="13" t="s">
        <v>30</v>
      </c>
      <c r="K40" s="13" t="s">
        <v>30</v>
      </c>
      <c r="L40" s="13" t="s">
        <v>30</v>
      </c>
      <c r="M40" s="13" t="s">
        <v>30</v>
      </c>
      <c r="N40" s="13">
        <v>9</v>
      </c>
      <c r="O40" s="22">
        <v>24</v>
      </c>
      <c r="P40" s="22">
        <v>25</v>
      </c>
      <c r="Q40" s="22">
        <v>23</v>
      </c>
      <c r="R40" s="22">
        <v>10</v>
      </c>
      <c r="S40" s="48">
        <v>158</v>
      </c>
      <c r="T40" s="48">
        <v>266</v>
      </c>
      <c r="U40" s="48">
        <v>232</v>
      </c>
      <c r="V40" s="48">
        <v>197</v>
      </c>
      <c r="W40" s="48">
        <v>213</v>
      </c>
      <c r="X40" s="48">
        <v>298</v>
      </c>
    </row>
    <row r="41" spans="1:24" ht="12.75">
      <c r="A41" s="252" t="s">
        <v>36</v>
      </c>
      <c r="B41" s="252"/>
      <c r="C41" s="252"/>
      <c r="D41" s="64"/>
      <c r="E41" s="64" t="s">
        <v>183</v>
      </c>
      <c r="F41" s="13" t="s">
        <v>30</v>
      </c>
      <c r="G41" s="13" t="s">
        <v>30</v>
      </c>
      <c r="H41" s="13" t="s">
        <v>30</v>
      </c>
      <c r="I41" s="13" t="s">
        <v>30</v>
      </c>
      <c r="J41" s="13" t="s">
        <v>30</v>
      </c>
      <c r="K41" s="13" t="s">
        <v>30</v>
      </c>
      <c r="L41" s="13" t="s">
        <v>30</v>
      </c>
      <c r="M41" s="13" t="s">
        <v>30</v>
      </c>
      <c r="N41" s="13" t="s">
        <v>30</v>
      </c>
      <c r="O41" s="13" t="s">
        <v>30</v>
      </c>
      <c r="P41" s="13" t="s">
        <v>30</v>
      </c>
      <c r="Q41" s="13" t="s">
        <v>30</v>
      </c>
      <c r="R41" s="13" t="s">
        <v>30</v>
      </c>
      <c r="S41" s="13" t="s">
        <v>30</v>
      </c>
      <c r="T41" s="13" t="s">
        <v>30</v>
      </c>
      <c r="U41" s="13" t="s">
        <v>30</v>
      </c>
      <c r="V41" s="13" t="s">
        <v>30</v>
      </c>
      <c r="W41" s="13" t="s">
        <v>30</v>
      </c>
      <c r="X41" s="13"/>
    </row>
    <row r="42" spans="1:24" ht="12.75">
      <c r="A42" s="252" t="s">
        <v>36</v>
      </c>
      <c r="B42" s="252"/>
      <c r="C42" s="252"/>
      <c r="D42" s="64"/>
      <c r="E42" s="64" t="s">
        <v>93</v>
      </c>
      <c r="F42" s="13">
        <v>29</v>
      </c>
      <c r="G42" s="13">
        <v>33</v>
      </c>
      <c r="H42" s="13">
        <v>33</v>
      </c>
      <c r="I42" s="13">
        <v>35.8</v>
      </c>
      <c r="J42" s="13">
        <v>38</v>
      </c>
      <c r="K42" s="13">
        <v>37</v>
      </c>
      <c r="L42" s="13">
        <v>34</v>
      </c>
      <c r="M42" s="48">
        <v>34</v>
      </c>
      <c r="N42" s="13">
        <f>30-2-1</f>
        <v>27</v>
      </c>
      <c r="O42" s="22">
        <v>30</v>
      </c>
      <c r="P42" s="22">
        <v>30</v>
      </c>
      <c r="Q42" s="22">
        <v>28</v>
      </c>
      <c r="R42" s="22">
        <v>26</v>
      </c>
      <c r="S42" s="48">
        <v>22</v>
      </c>
      <c r="T42" s="48">
        <v>27</v>
      </c>
      <c r="U42" s="48">
        <v>28</v>
      </c>
      <c r="V42" s="48">
        <v>26</v>
      </c>
      <c r="W42" s="48">
        <v>26</v>
      </c>
      <c r="X42" s="48">
        <v>28</v>
      </c>
    </row>
    <row r="43" spans="1:24" s="62" customFormat="1" ht="12.75">
      <c r="A43" s="264" t="s">
        <v>27</v>
      </c>
      <c r="B43" s="264" t="s">
        <v>39</v>
      </c>
      <c r="C43" s="264"/>
      <c r="D43" s="59"/>
      <c r="E43" s="59" t="s">
        <v>184</v>
      </c>
      <c r="F43" s="14">
        <f aca="true" t="shared" si="2" ref="F43:R43">SUM(F30:F42)</f>
        <v>6593</v>
      </c>
      <c r="G43" s="14">
        <f t="shared" si="2"/>
        <v>6802</v>
      </c>
      <c r="H43" s="14">
        <f t="shared" si="2"/>
        <v>6627.04</v>
      </c>
      <c r="I43" s="14">
        <f t="shared" si="2"/>
        <v>5533.62</v>
      </c>
      <c r="J43" s="14">
        <f t="shared" si="2"/>
        <v>5516</v>
      </c>
      <c r="K43" s="14">
        <f t="shared" si="2"/>
        <v>5648</v>
      </c>
      <c r="L43" s="14">
        <f t="shared" si="2"/>
        <v>6515</v>
      </c>
      <c r="M43" s="14">
        <f t="shared" si="2"/>
        <v>6265</v>
      </c>
      <c r="N43" s="14">
        <f t="shared" si="2"/>
        <v>7912</v>
      </c>
      <c r="O43" s="14">
        <f t="shared" si="2"/>
        <v>9421</v>
      </c>
      <c r="P43" s="14">
        <f t="shared" si="2"/>
        <v>9941</v>
      </c>
      <c r="Q43" s="14">
        <f t="shared" si="2"/>
        <v>9177</v>
      </c>
      <c r="R43" s="14">
        <f t="shared" si="2"/>
        <v>8416</v>
      </c>
      <c r="S43" s="14">
        <f>SUM(S30:S42)</f>
        <v>7977</v>
      </c>
      <c r="T43" s="14">
        <f>SUM(T30:T42)</f>
        <v>8389</v>
      </c>
      <c r="U43" s="14">
        <v>8480</v>
      </c>
      <c r="V43" s="14">
        <f>SUM(V30:V42)</f>
        <v>8324</v>
      </c>
      <c r="W43" s="14">
        <f>SUM(W30:W42)</f>
        <v>8788</v>
      </c>
      <c r="X43" s="14">
        <f>SUM(X30:X42)</f>
        <v>9264</v>
      </c>
    </row>
    <row r="44" spans="1:24" s="62" customFormat="1" ht="12.75">
      <c r="A44" s="264" t="s">
        <v>27</v>
      </c>
      <c r="B44" s="264" t="s">
        <v>39</v>
      </c>
      <c r="C44" s="264"/>
      <c r="D44" s="59"/>
      <c r="E44" s="59" t="s">
        <v>185</v>
      </c>
      <c r="F44" s="14">
        <f aca="true" t="shared" si="3" ref="F44:K44">+F43+F26</f>
        <v>52032</v>
      </c>
      <c r="G44" s="14">
        <f t="shared" si="3"/>
        <v>49671</v>
      </c>
      <c r="H44" s="14">
        <f t="shared" si="3"/>
        <v>46898.979999999996</v>
      </c>
      <c r="I44" s="14">
        <f t="shared" si="3"/>
        <v>42601.49999999999</v>
      </c>
      <c r="J44" s="14">
        <f t="shared" si="3"/>
        <v>39514</v>
      </c>
      <c r="K44" s="14">
        <f t="shared" si="3"/>
        <v>35623</v>
      </c>
      <c r="L44" s="14">
        <f aca="true" t="shared" si="4" ref="L44:R44">L26+L43</f>
        <v>34185</v>
      </c>
      <c r="M44" s="14">
        <f t="shared" si="4"/>
        <v>29223</v>
      </c>
      <c r="N44" s="14">
        <f t="shared" si="4"/>
        <v>28694</v>
      </c>
      <c r="O44" s="14">
        <f t="shared" si="4"/>
        <v>28855</v>
      </c>
      <c r="P44" s="14">
        <f t="shared" si="4"/>
        <v>28138</v>
      </c>
      <c r="Q44" s="14">
        <f t="shared" si="4"/>
        <v>25293</v>
      </c>
      <c r="R44" s="14">
        <f t="shared" si="4"/>
        <v>23031</v>
      </c>
      <c r="S44" s="14">
        <f aca="true" t="shared" si="5" ref="S44:X44">S26+S43</f>
        <v>21666</v>
      </c>
      <c r="T44" s="14">
        <f t="shared" si="5"/>
        <v>21617</v>
      </c>
      <c r="U44" s="14">
        <f t="shared" si="5"/>
        <v>21600</v>
      </c>
      <c r="V44" s="14">
        <f t="shared" si="5"/>
        <v>20768</v>
      </c>
      <c r="W44" s="14">
        <f t="shared" si="5"/>
        <v>20548</v>
      </c>
      <c r="X44" s="14">
        <f t="shared" si="5"/>
        <v>20991</v>
      </c>
    </row>
    <row r="45" spans="1:24" ht="12.75">
      <c r="A45" s="252" t="s">
        <v>38</v>
      </c>
      <c r="B45" s="252"/>
      <c r="C45" s="252"/>
      <c r="D45" s="64"/>
      <c r="E45" s="64"/>
      <c r="F45" s="60"/>
      <c r="G45" s="60"/>
      <c r="M45" s="53"/>
      <c r="N45" s="60"/>
      <c r="O45" s="22"/>
      <c r="P45" s="22"/>
      <c r="Q45" s="22"/>
      <c r="R45" s="22"/>
      <c r="S45" s="22"/>
      <c r="T45" s="22"/>
      <c r="U45" s="22"/>
      <c r="V45" s="22"/>
      <c r="W45" s="22"/>
      <c r="X45" s="22"/>
    </row>
    <row r="46" spans="1:24" s="126" customFormat="1" ht="12.75">
      <c r="A46" s="256" t="s">
        <v>35</v>
      </c>
      <c r="B46" s="256"/>
      <c r="C46" s="256"/>
      <c r="D46" s="136"/>
      <c r="E46" s="136" t="s">
        <v>186</v>
      </c>
      <c r="F46" s="126">
        <v>1999</v>
      </c>
      <c r="G46" s="126">
        <v>2000</v>
      </c>
      <c r="H46" s="126">
        <v>2001</v>
      </c>
      <c r="I46" s="126">
        <v>2002</v>
      </c>
      <c r="J46" s="126">
        <v>2003</v>
      </c>
      <c r="K46" s="126">
        <v>2004</v>
      </c>
      <c r="L46" s="126">
        <v>2005</v>
      </c>
      <c r="M46" s="126">
        <v>2005</v>
      </c>
      <c r="N46" s="126">
        <v>2006</v>
      </c>
      <c r="O46" s="126">
        <v>2007</v>
      </c>
      <c r="P46" s="126">
        <v>2008</v>
      </c>
      <c r="Q46" s="272">
        <v>2009</v>
      </c>
      <c r="R46" s="272">
        <v>2010</v>
      </c>
      <c r="S46" s="272">
        <v>2011</v>
      </c>
      <c r="T46" s="272">
        <v>2012</v>
      </c>
      <c r="U46" s="272">
        <f>+U6</f>
        <v>2013</v>
      </c>
      <c r="V46" s="272">
        <f>+V6</f>
        <v>2014</v>
      </c>
      <c r="W46" s="272">
        <f>+W6</f>
        <v>2015</v>
      </c>
      <c r="X46" s="272">
        <f>+X6</f>
        <v>2016</v>
      </c>
    </row>
    <row r="47" spans="1:24" s="80" customFormat="1" ht="26.25">
      <c r="A47" s="260" t="s">
        <v>571</v>
      </c>
      <c r="B47" s="265"/>
      <c r="C47" s="263"/>
      <c r="D47" s="128"/>
      <c r="E47" s="128"/>
      <c r="M47" s="268" t="s">
        <v>151</v>
      </c>
      <c r="O47" s="273"/>
      <c r="P47" s="273"/>
      <c r="Q47" s="273"/>
      <c r="R47" s="273"/>
      <c r="S47" s="273"/>
      <c r="T47" s="273"/>
      <c r="U47" s="273"/>
      <c r="V47" s="273"/>
      <c r="W47" s="273"/>
      <c r="X47" s="273"/>
    </row>
    <row r="48" spans="1:24" ht="12.75">
      <c r="A48" s="252" t="s">
        <v>36</v>
      </c>
      <c r="B48" s="252"/>
      <c r="C48" s="252"/>
      <c r="D48" s="64"/>
      <c r="E48" s="64" t="s">
        <v>187</v>
      </c>
      <c r="F48" s="22">
        <v>21955</v>
      </c>
      <c r="G48" s="22">
        <v>21677</v>
      </c>
      <c r="H48" s="22">
        <v>20074.44</v>
      </c>
      <c r="I48" s="13">
        <v>18806.7</v>
      </c>
      <c r="J48" s="13">
        <v>19761</v>
      </c>
      <c r="K48" s="13">
        <v>19995</v>
      </c>
      <c r="L48" s="13">
        <v>19353</v>
      </c>
      <c r="M48" s="13">
        <v>13360</v>
      </c>
      <c r="N48" s="13">
        <v>10822</v>
      </c>
      <c r="O48" s="22">
        <v>10648</v>
      </c>
      <c r="P48" s="22">
        <v>10046</v>
      </c>
      <c r="Q48" s="22">
        <v>9020</v>
      </c>
      <c r="R48" s="22">
        <v>8675</v>
      </c>
      <c r="S48" s="48">
        <v>7914</v>
      </c>
      <c r="T48" s="48">
        <v>7933</v>
      </c>
      <c r="U48" s="48">
        <v>8754</v>
      </c>
      <c r="V48" s="48">
        <v>9844</v>
      </c>
      <c r="W48" s="48">
        <v>9701</v>
      </c>
      <c r="X48" s="48">
        <v>9861</v>
      </c>
    </row>
    <row r="49" spans="1:24" ht="12.75">
      <c r="A49" s="252" t="s">
        <v>36</v>
      </c>
      <c r="B49" s="252"/>
      <c r="C49" s="252"/>
      <c r="D49" s="64"/>
      <c r="E49" s="64" t="s">
        <v>188</v>
      </c>
      <c r="F49" s="22">
        <v>1219</v>
      </c>
      <c r="G49" s="22">
        <v>1202</v>
      </c>
      <c r="H49" s="22">
        <v>1218.9</v>
      </c>
      <c r="I49" s="13">
        <v>1310.3</v>
      </c>
      <c r="J49" s="13">
        <v>1408</v>
      </c>
      <c r="K49" s="13">
        <v>1552</v>
      </c>
      <c r="L49" s="13">
        <v>1699</v>
      </c>
      <c r="M49" s="53">
        <v>1624</v>
      </c>
      <c r="N49" s="13">
        <v>1551</v>
      </c>
      <c r="O49" s="22">
        <v>1420</v>
      </c>
      <c r="P49" s="22">
        <v>1352</v>
      </c>
      <c r="Q49" s="22">
        <v>1364</v>
      </c>
      <c r="R49" s="22">
        <v>1401</v>
      </c>
      <c r="S49" s="48">
        <v>1264</v>
      </c>
      <c r="T49" s="48">
        <v>1219</v>
      </c>
      <c r="U49" s="48">
        <v>1169</v>
      </c>
      <c r="V49" s="48">
        <v>858</v>
      </c>
      <c r="W49" s="48">
        <v>232</v>
      </c>
      <c r="X49" s="48">
        <v>203</v>
      </c>
    </row>
    <row r="50" spans="1:24" s="62" customFormat="1" ht="12.75">
      <c r="A50" s="264" t="s">
        <v>27</v>
      </c>
      <c r="B50" s="264" t="s">
        <v>39</v>
      </c>
      <c r="C50" s="264"/>
      <c r="D50" s="59"/>
      <c r="E50" s="59" t="s">
        <v>189</v>
      </c>
      <c r="F50" s="63">
        <v>23174</v>
      </c>
      <c r="G50" s="63">
        <v>22879</v>
      </c>
      <c r="H50" s="63">
        <v>21293.34</v>
      </c>
      <c r="I50" s="63">
        <v>20117</v>
      </c>
      <c r="J50" s="63">
        <v>21169</v>
      </c>
      <c r="K50" s="63">
        <f aca="true" t="shared" si="6" ref="K50:R50">SUM(K48:K49)</f>
        <v>21547</v>
      </c>
      <c r="L50" s="63">
        <f t="shared" si="6"/>
        <v>21052</v>
      </c>
      <c r="M50" s="63">
        <f t="shared" si="6"/>
        <v>14984</v>
      </c>
      <c r="N50" s="63">
        <f t="shared" si="6"/>
        <v>12373</v>
      </c>
      <c r="O50" s="63">
        <f t="shared" si="6"/>
        <v>12068</v>
      </c>
      <c r="P50" s="63">
        <f t="shared" si="6"/>
        <v>11398</v>
      </c>
      <c r="Q50" s="63">
        <f t="shared" si="6"/>
        <v>10384</v>
      </c>
      <c r="R50" s="63">
        <f t="shared" si="6"/>
        <v>10076</v>
      </c>
      <c r="S50" s="63">
        <f aca="true" t="shared" si="7" ref="S50:X50">SUM(S48:S49)</f>
        <v>9178</v>
      </c>
      <c r="T50" s="63">
        <f t="shared" si="7"/>
        <v>9152</v>
      </c>
      <c r="U50" s="63">
        <f t="shared" si="7"/>
        <v>9923</v>
      </c>
      <c r="V50" s="63">
        <f t="shared" si="7"/>
        <v>10702</v>
      </c>
      <c r="W50" s="63">
        <f t="shared" si="7"/>
        <v>9933</v>
      </c>
      <c r="X50" s="63">
        <f t="shared" si="7"/>
        <v>10064</v>
      </c>
    </row>
    <row r="51" spans="1:24" ht="12.75">
      <c r="A51" s="252" t="s">
        <v>38</v>
      </c>
      <c r="B51" s="252"/>
      <c r="C51" s="252"/>
      <c r="D51" s="64"/>
      <c r="E51" s="64"/>
      <c r="F51" s="60"/>
      <c r="G51" s="60"/>
      <c r="M51" s="53"/>
      <c r="N51" s="60"/>
      <c r="O51" s="22"/>
      <c r="P51" s="22"/>
      <c r="Q51" s="22"/>
      <c r="R51" s="22"/>
      <c r="S51" s="22"/>
      <c r="T51" s="22"/>
      <c r="U51" s="22"/>
      <c r="V51" s="22"/>
      <c r="W51" s="22"/>
      <c r="X51" s="22"/>
    </row>
    <row r="52" spans="1:24" s="126" customFormat="1" ht="12.75">
      <c r="A52" s="256" t="s">
        <v>35</v>
      </c>
      <c r="B52" s="256"/>
      <c r="C52" s="256"/>
      <c r="D52" s="136"/>
      <c r="E52" s="136" t="s">
        <v>190</v>
      </c>
      <c r="F52" s="126">
        <v>1999</v>
      </c>
      <c r="G52" s="126">
        <v>2000</v>
      </c>
      <c r="H52" s="126">
        <v>2001</v>
      </c>
      <c r="I52" s="126">
        <v>2002</v>
      </c>
      <c r="J52" s="126">
        <v>2003</v>
      </c>
      <c r="K52" s="126">
        <v>2004</v>
      </c>
      <c r="L52" s="126">
        <v>2005</v>
      </c>
      <c r="M52" s="126">
        <v>2005</v>
      </c>
      <c r="N52" s="126">
        <v>2006</v>
      </c>
      <c r="O52" s="126">
        <v>2007</v>
      </c>
      <c r="P52" s="126">
        <v>2008</v>
      </c>
      <c r="Q52" s="272">
        <v>2009</v>
      </c>
      <c r="R52" s="272">
        <v>2010</v>
      </c>
      <c r="S52" s="272">
        <v>2011</v>
      </c>
      <c r="T52" s="272">
        <v>2012</v>
      </c>
      <c r="U52" s="272">
        <f>+U6</f>
        <v>2013</v>
      </c>
      <c r="V52" s="272">
        <f>+V6</f>
        <v>2014</v>
      </c>
      <c r="W52" s="272">
        <f>+W6</f>
        <v>2015</v>
      </c>
      <c r="X52" s="272">
        <f>+X6</f>
        <v>2016</v>
      </c>
    </row>
    <row r="53" spans="1:24" s="80" customFormat="1" ht="26.25">
      <c r="A53" s="260" t="s">
        <v>571</v>
      </c>
      <c r="B53" s="265"/>
      <c r="C53" s="263"/>
      <c r="D53" s="128"/>
      <c r="E53" s="128"/>
      <c r="M53" s="268" t="s">
        <v>151</v>
      </c>
      <c r="O53" s="273"/>
      <c r="P53" s="273"/>
      <c r="Q53" s="273"/>
      <c r="R53" s="273"/>
      <c r="S53" s="273"/>
      <c r="T53" s="273"/>
      <c r="U53" s="273"/>
      <c r="V53" s="273"/>
      <c r="W53" s="273"/>
      <c r="X53" s="273"/>
    </row>
    <row r="54" spans="1:24" ht="12.75">
      <c r="A54" s="252" t="s">
        <v>36</v>
      </c>
      <c r="B54" s="252"/>
      <c r="C54" s="252"/>
      <c r="D54" s="64"/>
      <c r="E54" s="64" t="s">
        <v>191</v>
      </c>
      <c r="F54" s="13">
        <v>3383</v>
      </c>
      <c r="G54" s="13">
        <v>3794</v>
      </c>
      <c r="H54" s="13">
        <v>4441.7</v>
      </c>
      <c r="I54" s="13">
        <v>4800.8</v>
      </c>
      <c r="J54" s="13">
        <v>3863</v>
      </c>
      <c r="K54" s="13">
        <v>4797</v>
      </c>
      <c r="L54" s="13">
        <v>4914</v>
      </c>
      <c r="M54" s="13">
        <v>4775</v>
      </c>
      <c r="N54" s="13">
        <v>5417</v>
      </c>
      <c r="O54" s="22">
        <v>6754</v>
      </c>
      <c r="P54" s="22">
        <v>6773</v>
      </c>
      <c r="Q54" s="22">
        <v>7636</v>
      </c>
      <c r="R54" s="22">
        <v>11004</v>
      </c>
      <c r="S54" s="48">
        <v>10755</v>
      </c>
      <c r="T54" s="48">
        <v>11123</v>
      </c>
      <c r="U54" s="48">
        <v>11420</v>
      </c>
      <c r="V54" s="48">
        <v>10237</v>
      </c>
      <c r="W54" s="48">
        <v>8683</v>
      </c>
      <c r="X54" s="48">
        <v>6996</v>
      </c>
    </row>
    <row r="55" spans="1:24" ht="12.75">
      <c r="A55" s="252" t="s">
        <v>36</v>
      </c>
      <c r="B55" s="252"/>
      <c r="C55" s="252"/>
      <c r="D55" s="64"/>
      <c r="E55" s="64" t="s">
        <v>192</v>
      </c>
      <c r="F55" s="13">
        <v>1442</v>
      </c>
      <c r="G55" s="13">
        <v>1235</v>
      </c>
      <c r="H55" s="13">
        <v>1168.4</v>
      </c>
      <c r="I55" s="13">
        <v>1017.4</v>
      </c>
      <c r="J55" s="13">
        <v>1198</v>
      </c>
      <c r="K55" s="13">
        <v>1033</v>
      </c>
      <c r="L55" s="13">
        <v>1450</v>
      </c>
      <c r="M55" s="13">
        <v>1450</v>
      </c>
      <c r="N55" s="13">
        <f>3089+7</f>
        <v>3096</v>
      </c>
      <c r="O55" s="22">
        <v>3481</v>
      </c>
      <c r="P55" s="22">
        <v>3373</v>
      </c>
      <c r="Q55" s="22">
        <v>2809</v>
      </c>
      <c r="R55" s="22">
        <v>2904</v>
      </c>
      <c r="S55" s="48">
        <v>3074</v>
      </c>
      <c r="T55" s="48">
        <v>3118</v>
      </c>
      <c r="U55" s="48">
        <v>3514</v>
      </c>
      <c r="V55" s="48">
        <v>4994</v>
      </c>
      <c r="W55" s="48">
        <v>5710</v>
      </c>
      <c r="X55" s="48">
        <v>5448</v>
      </c>
    </row>
    <row r="56" spans="1:24" ht="12.75">
      <c r="A56" s="252" t="s">
        <v>36</v>
      </c>
      <c r="B56" s="252"/>
      <c r="C56" s="252"/>
      <c r="D56" s="64"/>
      <c r="E56" s="64" t="s">
        <v>193</v>
      </c>
      <c r="F56" s="13">
        <v>324</v>
      </c>
      <c r="G56" s="13">
        <v>213</v>
      </c>
      <c r="H56" s="13">
        <v>125.8</v>
      </c>
      <c r="I56" s="13">
        <v>114.6</v>
      </c>
      <c r="J56" s="13">
        <v>123</v>
      </c>
      <c r="K56" s="13">
        <v>99</v>
      </c>
      <c r="L56" s="13">
        <v>67</v>
      </c>
      <c r="M56" s="13">
        <v>48</v>
      </c>
      <c r="N56" s="13">
        <v>104</v>
      </c>
      <c r="O56" s="22">
        <v>186</v>
      </c>
      <c r="P56" s="22">
        <v>228</v>
      </c>
      <c r="Q56" s="22">
        <v>131</v>
      </c>
      <c r="R56" s="22">
        <v>98</v>
      </c>
      <c r="S56" s="48">
        <v>132</v>
      </c>
      <c r="T56" s="48">
        <v>138</v>
      </c>
      <c r="U56" s="48">
        <v>128</v>
      </c>
      <c r="V56" s="48">
        <v>186</v>
      </c>
      <c r="W56" s="48">
        <v>243</v>
      </c>
      <c r="X56" s="48">
        <v>261</v>
      </c>
    </row>
    <row r="57" spans="1:24" ht="12.75">
      <c r="A57" s="252" t="s">
        <v>36</v>
      </c>
      <c r="B57" s="252"/>
      <c r="C57" s="252"/>
      <c r="D57" s="64"/>
      <c r="E57" s="64" t="s">
        <v>194</v>
      </c>
      <c r="F57" s="13">
        <v>235</v>
      </c>
      <c r="G57" s="13">
        <v>206</v>
      </c>
      <c r="H57" s="13">
        <v>195.2</v>
      </c>
      <c r="I57" s="13">
        <v>210.2</v>
      </c>
      <c r="J57" s="13">
        <v>75</v>
      </c>
      <c r="K57" s="13">
        <v>47</v>
      </c>
      <c r="L57" s="13">
        <v>53</v>
      </c>
      <c r="M57" s="13">
        <v>47</v>
      </c>
      <c r="N57" s="13">
        <v>55</v>
      </c>
      <c r="O57" s="22">
        <v>66</v>
      </c>
      <c r="P57" s="22">
        <v>115</v>
      </c>
      <c r="Q57" s="22">
        <v>117</v>
      </c>
      <c r="R57" s="22">
        <v>138</v>
      </c>
      <c r="S57" s="48">
        <v>164</v>
      </c>
      <c r="T57" s="48">
        <v>214</v>
      </c>
      <c r="U57" s="48">
        <v>197</v>
      </c>
      <c r="V57" s="48">
        <v>165</v>
      </c>
      <c r="W57" s="48">
        <v>128</v>
      </c>
      <c r="X57" s="48">
        <v>95</v>
      </c>
    </row>
    <row r="58" spans="1:24" ht="12.75">
      <c r="A58" s="252" t="s">
        <v>36</v>
      </c>
      <c r="B58" s="252"/>
      <c r="C58" s="252"/>
      <c r="D58" s="64"/>
      <c r="E58" s="64" t="s">
        <v>195</v>
      </c>
      <c r="F58" s="13">
        <v>108</v>
      </c>
      <c r="G58" s="13">
        <v>121</v>
      </c>
      <c r="H58" s="13">
        <v>128.2</v>
      </c>
      <c r="I58" s="13">
        <v>74.6</v>
      </c>
      <c r="J58" s="13">
        <v>66</v>
      </c>
      <c r="K58" s="13">
        <v>86</v>
      </c>
      <c r="L58" s="13">
        <v>87</v>
      </c>
      <c r="M58" s="13">
        <v>69</v>
      </c>
      <c r="N58" s="13">
        <v>71</v>
      </c>
      <c r="O58" s="22">
        <v>88</v>
      </c>
      <c r="P58" s="22">
        <v>92</v>
      </c>
      <c r="Q58" s="22">
        <v>88</v>
      </c>
      <c r="R58" s="22">
        <v>88</v>
      </c>
      <c r="S58" s="48">
        <v>226</v>
      </c>
      <c r="T58" s="48">
        <v>876</v>
      </c>
      <c r="U58" s="48">
        <v>965</v>
      </c>
      <c r="V58" s="48">
        <v>898</v>
      </c>
      <c r="W58" s="48">
        <v>1063</v>
      </c>
      <c r="X58" s="48">
        <v>974</v>
      </c>
    </row>
    <row r="59" spans="1:24" ht="12.75">
      <c r="A59" s="252" t="s">
        <v>36</v>
      </c>
      <c r="B59" s="252"/>
      <c r="C59" s="252"/>
      <c r="D59" s="64"/>
      <c r="E59" s="64" t="s">
        <v>196</v>
      </c>
      <c r="F59" s="13">
        <v>434</v>
      </c>
      <c r="G59" s="13">
        <v>157</v>
      </c>
      <c r="H59" s="13">
        <v>32.4</v>
      </c>
      <c r="I59" s="13">
        <v>39</v>
      </c>
      <c r="J59" s="13">
        <v>42</v>
      </c>
      <c r="K59" s="13">
        <v>38</v>
      </c>
      <c r="L59" s="13">
        <v>38</v>
      </c>
      <c r="M59" s="13">
        <v>29</v>
      </c>
      <c r="N59" s="13">
        <v>31</v>
      </c>
      <c r="O59" s="22">
        <v>37</v>
      </c>
      <c r="P59" s="22">
        <v>37</v>
      </c>
      <c r="Q59" s="22">
        <v>35</v>
      </c>
      <c r="R59" s="22">
        <v>96</v>
      </c>
      <c r="S59" s="48">
        <v>185</v>
      </c>
      <c r="T59" s="48">
        <v>232</v>
      </c>
      <c r="U59" s="48">
        <v>283</v>
      </c>
      <c r="V59" s="48">
        <v>236</v>
      </c>
      <c r="W59" s="48">
        <v>212</v>
      </c>
      <c r="X59" s="48">
        <v>202</v>
      </c>
    </row>
    <row r="60" spans="1:24" ht="12.75">
      <c r="A60" s="252" t="s">
        <v>36</v>
      </c>
      <c r="B60" s="252"/>
      <c r="C60" s="252"/>
      <c r="D60" s="64"/>
      <c r="E60" s="64" t="s">
        <v>197</v>
      </c>
      <c r="F60" s="13">
        <v>146</v>
      </c>
      <c r="G60" s="13">
        <v>105</v>
      </c>
      <c r="H60" s="13">
        <v>55.6</v>
      </c>
      <c r="I60" s="13">
        <v>31</v>
      </c>
      <c r="J60" s="13">
        <v>28</v>
      </c>
      <c r="K60" s="13">
        <v>32</v>
      </c>
      <c r="L60" s="13">
        <v>42</v>
      </c>
      <c r="M60" s="13">
        <v>30</v>
      </c>
      <c r="N60" s="13">
        <v>52</v>
      </c>
      <c r="O60" s="22">
        <v>72</v>
      </c>
      <c r="P60" s="22">
        <v>77</v>
      </c>
      <c r="Q60" s="22">
        <v>77</v>
      </c>
      <c r="R60" s="22">
        <v>69</v>
      </c>
      <c r="S60" s="48">
        <v>72</v>
      </c>
      <c r="T60" s="48">
        <v>86</v>
      </c>
      <c r="U60" s="48">
        <v>74</v>
      </c>
      <c r="V60" s="48">
        <v>27</v>
      </c>
      <c r="W60" s="48">
        <v>7</v>
      </c>
      <c r="X60" s="48">
        <v>3</v>
      </c>
    </row>
    <row r="61" spans="1:24" ht="12.75">
      <c r="A61" s="252" t="s">
        <v>36</v>
      </c>
      <c r="B61" s="252"/>
      <c r="C61" s="252"/>
      <c r="D61" s="64"/>
      <c r="E61" s="64" t="s">
        <v>198</v>
      </c>
      <c r="F61" s="13">
        <v>334</v>
      </c>
      <c r="G61" s="13">
        <v>266</v>
      </c>
      <c r="H61" s="13">
        <v>141</v>
      </c>
      <c r="I61" s="13" t="s">
        <v>30</v>
      </c>
      <c r="J61" s="13" t="s">
        <v>30</v>
      </c>
      <c r="K61" s="13" t="s">
        <v>30</v>
      </c>
      <c r="L61" s="13" t="s">
        <v>30</v>
      </c>
      <c r="M61" s="13" t="s">
        <v>30</v>
      </c>
      <c r="N61" s="13" t="s">
        <v>30</v>
      </c>
      <c r="O61" s="13" t="s">
        <v>30</v>
      </c>
      <c r="P61" s="13" t="s">
        <v>30</v>
      </c>
      <c r="Q61" s="13" t="s">
        <v>30</v>
      </c>
      <c r="R61" s="13" t="s">
        <v>30</v>
      </c>
      <c r="S61" s="13" t="s">
        <v>30</v>
      </c>
      <c r="T61" s="13" t="s">
        <v>30</v>
      </c>
      <c r="U61" s="13" t="s">
        <v>30</v>
      </c>
      <c r="V61" s="13" t="s">
        <v>30</v>
      </c>
      <c r="W61" s="13" t="s">
        <v>30</v>
      </c>
      <c r="X61" s="13"/>
    </row>
    <row r="62" spans="1:24" ht="12.75">
      <c r="A62" s="252" t="s">
        <v>36</v>
      </c>
      <c r="B62" s="252"/>
      <c r="C62" s="252"/>
      <c r="D62" s="64"/>
      <c r="E62" s="64" t="s">
        <v>199</v>
      </c>
      <c r="F62" s="13">
        <v>76</v>
      </c>
      <c r="G62" s="13">
        <v>69</v>
      </c>
      <c r="H62" s="13">
        <v>41.4</v>
      </c>
      <c r="I62" s="13" t="s">
        <v>30</v>
      </c>
      <c r="J62" s="13" t="s">
        <v>30</v>
      </c>
      <c r="K62" s="13" t="s">
        <v>30</v>
      </c>
      <c r="L62" s="13">
        <v>8</v>
      </c>
      <c r="M62" s="13">
        <v>8</v>
      </c>
      <c r="N62" s="13">
        <v>12</v>
      </c>
      <c r="O62" s="22">
        <v>13</v>
      </c>
      <c r="P62" s="22">
        <v>21</v>
      </c>
      <c r="Q62" s="22">
        <v>28</v>
      </c>
      <c r="R62" s="22">
        <v>26</v>
      </c>
      <c r="S62" s="48">
        <v>363</v>
      </c>
      <c r="T62" s="48">
        <v>1705</v>
      </c>
      <c r="U62" s="48">
        <v>1661</v>
      </c>
      <c r="V62" s="48">
        <v>1735</v>
      </c>
      <c r="W62" s="48">
        <v>2279</v>
      </c>
      <c r="X62" s="48">
        <v>2239</v>
      </c>
    </row>
    <row r="63" spans="1:24" ht="12.75">
      <c r="A63" s="252" t="s">
        <v>36</v>
      </c>
      <c r="B63" s="252"/>
      <c r="C63" s="252"/>
      <c r="D63" s="64"/>
      <c r="E63" s="64" t="s">
        <v>200</v>
      </c>
      <c r="F63" s="13" t="s">
        <v>30</v>
      </c>
      <c r="G63" s="13" t="s">
        <v>30</v>
      </c>
      <c r="H63" s="13" t="s">
        <v>30</v>
      </c>
      <c r="I63" s="13" t="s">
        <v>30</v>
      </c>
      <c r="J63" s="13" t="s">
        <v>30</v>
      </c>
      <c r="K63" s="13" t="s">
        <v>30</v>
      </c>
      <c r="L63" s="13" t="s">
        <v>30</v>
      </c>
      <c r="M63" s="13" t="s">
        <v>30</v>
      </c>
      <c r="N63" s="13" t="s">
        <v>30</v>
      </c>
      <c r="O63" s="13" t="s">
        <v>30</v>
      </c>
      <c r="P63" s="13" t="s">
        <v>30</v>
      </c>
      <c r="Q63" s="13" t="s">
        <v>30</v>
      </c>
      <c r="R63" s="13" t="s">
        <v>30</v>
      </c>
      <c r="S63" s="13" t="s">
        <v>30</v>
      </c>
      <c r="T63" s="13" t="s">
        <v>30</v>
      </c>
      <c r="U63" s="13" t="s">
        <v>30</v>
      </c>
      <c r="V63" s="13" t="s">
        <v>30</v>
      </c>
      <c r="W63" s="13" t="s">
        <v>30</v>
      </c>
      <c r="X63" s="13"/>
    </row>
    <row r="64" spans="1:24" ht="12.75">
      <c r="A64" s="252" t="s">
        <v>36</v>
      </c>
      <c r="B64" s="252"/>
      <c r="C64" s="252"/>
      <c r="D64" s="64"/>
      <c r="E64" s="64" t="s">
        <v>93</v>
      </c>
      <c r="F64" s="13">
        <v>66</v>
      </c>
      <c r="G64" s="13">
        <v>57</v>
      </c>
      <c r="H64" s="13">
        <v>5</v>
      </c>
      <c r="I64" s="13">
        <v>1</v>
      </c>
      <c r="J64" s="13" t="s">
        <v>30</v>
      </c>
      <c r="K64" s="13" t="s">
        <v>30</v>
      </c>
      <c r="L64" s="13" t="s">
        <v>30</v>
      </c>
      <c r="M64" s="13" t="s">
        <v>30</v>
      </c>
      <c r="N64" s="13" t="s">
        <v>30</v>
      </c>
      <c r="O64" s="13" t="s">
        <v>30</v>
      </c>
      <c r="P64" s="13" t="s">
        <v>30</v>
      </c>
      <c r="Q64" s="13" t="s">
        <v>30</v>
      </c>
      <c r="R64" s="13" t="s">
        <v>30</v>
      </c>
      <c r="S64" s="13" t="s">
        <v>30</v>
      </c>
      <c r="T64" s="13" t="s">
        <v>30</v>
      </c>
      <c r="U64" s="13" t="s">
        <v>30</v>
      </c>
      <c r="V64" s="13" t="s">
        <v>30</v>
      </c>
      <c r="W64" s="13" t="s">
        <v>30</v>
      </c>
      <c r="X64" s="13"/>
    </row>
    <row r="65" spans="1:24" s="62" customFormat="1" ht="12.75">
      <c r="A65" s="264" t="s">
        <v>27</v>
      </c>
      <c r="B65" s="264" t="s">
        <v>39</v>
      </c>
      <c r="C65" s="264"/>
      <c r="D65" s="59"/>
      <c r="E65" s="59" t="s">
        <v>201</v>
      </c>
      <c r="F65" s="14">
        <f aca="true" t="shared" si="8" ref="F65:R65">SUM(F54:F64)</f>
        <v>6548</v>
      </c>
      <c r="G65" s="14">
        <f t="shared" si="8"/>
        <v>6223</v>
      </c>
      <c r="H65" s="14">
        <f t="shared" si="8"/>
        <v>6334.7</v>
      </c>
      <c r="I65" s="14">
        <f t="shared" si="8"/>
        <v>6288.6</v>
      </c>
      <c r="J65" s="14">
        <f t="shared" si="8"/>
        <v>5395</v>
      </c>
      <c r="K65" s="14">
        <f t="shared" si="8"/>
        <v>6132</v>
      </c>
      <c r="L65" s="14">
        <f t="shared" si="8"/>
        <v>6659</v>
      </c>
      <c r="M65" s="14">
        <f t="shared" si="8"/>
        <v>6456</v>
      </c>
      <c r="N65" s="14">
        <f t="shared" si="8"/>
        <v>8838</v>
      </c>
      <c r="O65" s="14">
        <f t="shared" si="8"/>
        <v>10697</v>
      </c>
      <c r="P65" s="14">
        <f t="shared" si="8"/>
        <v>10716</v>
      </c>
      <c r="Q65" s="14">
        <f t="shared" si="8"/>
        <v>10921</v>
      </c>
      <c r="R65" s="14">
        <f t="shared" si="8"/>
        <v>14423</v>
      </c>
      <c r="S65" s="14">
        <f aca="true" t="shared" si="9" ref="S65:X65">SUM(S54:S64)</f>
        <v>14971</v>
      </c>
      <c r="T65" s="14">
        <f t="shared" si="9"/>
        <v>17492</v>
      </c>
      <c r="U65" s="14">
        <f t="shared" si="9"/>
        <v>18242</v>
      </c>
      <c r="V65" s="14">
        <f t="shared" si="9"/>
        <v>18478</v>
      </c>
      <c r="W65" s="14">
        <f t="shared" si="9"/>
        <v>18325</v>
      </c>
      <c r="X65" s="14">
        <f t="shared" si="9"/>
        <v>16218</v>
      </c>
    </row>
    <row r="66" spans="1:24" ht="12.75">
      <c r="A66" s="252" t="s">
        <v>38</v>
      </c>
      <c r="B66" s="252"/>
      <c r="C66" s="252"/>
      <c r="D66" s="64"/>
      <c r="E66" s="64"/>
      <c r="F66" s="60"/>
      <c r="G66" s="60"/>
      <c r="M66" s="53"/>
      <c r="N66" s="60"/>
      <c r="O66" s="60"/>
      <c r="Q66" s="60"/>
      <c r="R66" s="60"/>
      <c r="S66" s="60"/>
      <c r="T66" s="60"/>
      <c r="U66" s="60"/>
      <c r="V66" s="60"/>
      <c r="W66" s="60"/>
      <c r="X66" s="60"/>
    </row>
    <row r="67" spans="1:24" s="126" customFormat="1" ht="12.75">
      <c r="A67" s="256" t="s">
        <v>35</v>
      </c>
      <c r="B67" s="256"/>
      <c r="C67" s="256"/>
      <c r="D67" s="136"/>
      <c r="E67" s="136" t="s">
        <v>202</v>
      </c>
      <c r="F67" s="126">
        <v>1999</v>
      </c>
      <c r="G67" s="126">
        <v>2000</v>
      </c>
      <c r="H67" s="126">
        <v>2001</v>
      </c>
      <c r="I67" s="126">
        <v>2002</v>
      </c>
      <c r="J67" s="126">
        <v>2003</v>
      </c>
      <c r="K67" s="126">
        <v>2004</v>
      </c>
      <c r="L67" s="126">
        <v>2005</v>
      </c>
      <c r="M67" s="126">
        <v>2005</v>
      </c>
      <c r="N67" s="126">
        <v>2006</v>
      </c>
      <c r="O67" s="126">
        <v>2007</v>
      </c>
      <c r="P67" s="126">
        <v>2007</v>
      </c>
      <c r="Q67" s="272">
        <v>2009</v>
      </c>
      <c r="R67" s="272">
        <v>2010</v>
      </c>
      <c r="S67" s="272">
        <v>2011</v>
      </c>
      <c r="T67" s="272">
        <v>2012</v>
      </c>
      <c r="U67" s="272">
        <f>+U6</f>
        <v>2013</v>
      </c>
      <c r="V67" s="272">
        <f>+V6</f>
        <v>2014</v>
      </c>
      <c r="W67" s="272">
        <f>+W6</f>
        <v>2015</v>
      </c>
      <c r="X67" s="272">
        <f>+X6</f>
        <v>2016</v>
      </c>
    </row>
    <row r="68" spans="1:24" s="80" customFormat="1" ht="26.25">
      <c r="A68" s="260" t="s">
        <v>571</v>
      </c>
      <c r="B68" s="265"/>
      <c r="C68" s="263"/>
      <c r="D68" s="128"/>
      <c r="E68" s="128"/>
      <c r="M68" s="268" t="s">
        <v>151</v>
      </c>
      <c r="O68" s="273"/>
      <c r="P68" s="273"/>
      <c r="Q68" s="273"/>
      <c r="R68" s="273"/>
      <c r="S68" s="273"/>
      <c r="T68" s="273"/>
      <c r="U68" s="273"/>
      <c r="V68" s="273"/>
      <c r="W68" s="273"/>
      <c r="X68" s="273"/>
    </row>
    <row r="69" spans="1:24" ht="12.75">
      <c r="A69" s="252" t="s">
        <v>35</v>
      </c>
      <c r="B69" s="252"/>
      <c r="C69" s="252"/>
      <c r="D69" s="59"/>
      <c r="E69" s="59" t="s">
        <v>203</v>
      </c>
      <c r="F69" s="65"/>
      <c r="G69" s="65"/>
      <c r="H69" s="65"/>
      <c r="I69" s="65"/>
      <c r="J69" s="65"/>
      <c r="K69" s="65"/>
      <c r="L69" s="65"/>
      <c r="M69" s="53"/>
      <c r="N69" s="65"/>
      <c r="O69" s="22"/>
      <c r="P69" s="22"/>
      <c r="Q69" s="22"/>
      <c r="R69" s="22"/>
      <c r="S69" s="22"/>
      <c r="T69" s="22"/>
      <c r="U69" s="22"/>
      <c r="V69" s="22"/>
      <c r="W69" s="22"/>
      <c r="X69" s="22"/>
    </row>
    <row r="70" spans="1:24" ht="12.75">
      <c r="A70" s="252" t="s">
        <v>36</v>
      </c>
      <c r="B70" s="252"/>
      <c r="C70" s="252"/>
      <c r="D70" s="64"/>
      <c r="E70" s="64" t="s">
        <v>204</v>
      </c>
      <c r="F70" s="13">
        <v>2696</v>
      </c>
      <c r="G70" s="13">
        <v>2785</v>
      </c>
      <c r="H70" s="13">
        <v>3641.6</v>
      </c>
      <c r="I70" s="13">
        <v>3462.4</v>
      </c>
      <c r="J70" s="13">
        <v>2910</v>
      </c>
      <c r="K70" s="13">
        <v>2437</v>
      </c>
      <c r="L70" s="13">
        <v>2200</v>
      </c>
      <c r="M70" s="13">
        <v>2052</v>
      </c>
      <c r="N70" s="13">
        <v>1617</v>
      </c>
      <c r="O70" s="22">
        <v>1560</v>
      </c>
      <c r="P70" s="22">
        <v>1411</v>
      </c>
      <c r="Q70" s="22">
        <v>715</v>
      </c>
      <c r="R70" s="22">
        <v>679</v>
      </c>
      <c r="S70" s="48">
        <v>718</v>
      </c>
      <c r="T70" s="48">
        <v>792</v>
      </c>
      <c r="U70" s="48">
        <v>921</v>
      </c>
      <c r="V70" s="48">
        <v>1010</v>
      </c>
      <c r="W70" s="48">
        <v>1034</v>
      </c>
      <c r="X70" s="48">
        <v>1006</v>
      </c>
    </row>
    <row r="71" spans="1:24" ht="12.75">
      <c r="A71" s="252" t="s">
        <v>36</v>
      </c>
      <c r="B71" s="252"/>
      <c r="C71" s="252"/>
      <c r="D71" s="64"/>
      <c r="E71" s="64" t="s">
        <v>205</v>
      </c>
      <c r="F71" s="13">
        <v>3108</v>
      </c>
      <c r="G71" s="13">
        <v>3625</v>
      </c>
      <c r="H71" s="13">
        <v>3636.4</v>
      </c>
      <c r="I71" s="13">
        <v>3486.2</v>
      </c>
      <c r="J71" s="13">
        <v>2485</v>
      </c>
      <c r="K71" s="13">
        <v>1462</v>
      </c>
      <c r="L71" s="13">
        <v>676</v>
      </c>
      <c r="M71" s="13">
        <v>676</v>
      </c>
      <c r="N71" s="13">
        <v>7</v>
      </c>
      <c r="O71" s="22">
        <v>10</v>
      </c>
      <c r="P71" s="22">
        <v>12</v>
      </c>
      <c r="Q71" s="22">
        <v>12</v>
      </c>
      <c r="R71" s="22">
        <v>12</v>
      </c>
      <c r="S71" s="48">
        <v>15</v>
      </c>
      <c r="T71" s="48">
        <v>26</v>
      </c>
      <c r="U71" s="48">
        <v>27</v>
      </c>
      <c r="V71" s="48">
        <v>27</v>
      </c>
      <c r="W71" s="48">
        <v>24</v>
      </c>
      <c r="X71" s="48">
        <v>23</v>
      </c>
    </row>
    <row r="72" spans="1:24" ht="12.75">
      <c r="A72" s="252" t="s">
        <v>36</v>
      </c>
      <c r="B72" s="252"/>
      <c r="C72" s="252"/>
      <c r="D72" s="64"/>
      <c r="E72" s="64" t="s">
        <v>206</v>
      </c>
      <c r="F72" s="13">
        <v>712</v>
      </c>
      <c r="G72" s="13">
        <v>310</v>
      </c>
      <c r="H72" s="13">
        <v>380.6</v>
      </c>
      <c r="I72" s="13">
        <v>444</v>
      </c>
      <c r="J72" s="13">
        <v>417</v>
      </c>
      <c r="K72" s="13">
        <v>413</v>
      </c>
      <c r="L72" s="13">
        <v>355</v>
      </c>
      <c r="M72" s="13">
        <v>355</v>
      </c>
      <c r="N72" s="13">
        <v>183</v>
      </c>
      <c r="O72" s="22">
        <v>144</v>
      </c>
      <c r="P72" s="22">
        <v>144</v>
      </c>
      <c r="Q72" s="22">
        <v>144</v>
      </c>
      <c r="R72" s="22">
        <v>144</v>
      </c>
      <c r="S72" s="48">
        <v>147</v>
      </c>
      <c r="T72" s="48">
        <v>155</v>
      </c>
      <c r="U72" s="48">
        <v>178</v>
      </c>
      <c r="V72" s="48">
        <v>210</v>
      </c>
      <c r="W72" s="48">
        <v>214</v>
      </c>
      <c r="X72" s="48">
        <v>107</v>
      </c>
    </row>
    <row r="73" spans="1:24" ht="12.75">
      <c r="A73" s="252" t="s">
        <v>36</v>
      </c>
      <c r="B73" s="252"/>
      <c r="C73" s="252"/>
      <c r="D73" s="64"/>
      <c r="E73" s="64" t="s">
        <v>207</v>
      </c>
      <c r="F73" s="13">
        <v>1460</v>
      </c>
      <c r="G73" s="13">
        <v>436</v>
      </c>
      <c r="H73" s="13">
        <v>458.2</v>
      </c>
      <c r="I73" s="13">
        <v>438.2</v>
      </c>
      <c r="J73" s="13">
        <v>337</v>
      </c>
      <c r="K73" s="13">
        <v>326</v>
      </c>
      <c r="L73" s="13">
        <v>420</v>
      </c>
      <c r="M73" s="13">
        <v>420</v>
      </c>
      <c r="N73" s="13">
        <v>572</v>
      </c>
      <c r="O73" s="22">
        <v>721</v>
      </c>
      <c r="P73" s="22">
        <v>843</v>
      </c>
      <c r="Q73" s="22">
        <v>894</v>
      </c>
      <c r="R73" s="22">
        <v>941</v>
      </c>
      <c r="S73" s="48">
        <v>1050</v>
      </c>
      <c r="T73" s="48">
        <v>1078</v>
      </c>
      <c r="U73" s="48">
        <v>1440</v>
      </c>
      <c r="V73" s="48">
        <v>1513</v>
      </c>
      <c r="W73" s="48">
        <v>1748</v>
      </c>
      <c r="X73" s="48">
        <v>1733</v>
      </c>
    </row>
    <row r="74" spans="1:24" ht="12.75">
      <c r="A74" s="252" t="s">
        <v>36</v>
      </c>
      <c r="B74" s="252"/>
      <c r="C74" s="252"/>
      <c r="D74" s="64"/>
      <c r="E74" s="64" t="s">
        <v>208</v>
      </c>
      <c r="F74" s="65">
        <v>646</v>
      </c>
      <c r="G74" s="65">
        <v>214</v>
      </c>
      <c r="H74" s="66">
        <v>202.38</v>
      </c>
      <c r="I74" s="13">
        <v>182.98</v>
      </c>
      <c r="J74" s="13">
        <v>158</v>
      </c>
      <c r="K74" s="13">
        <v>146</v>
      </c>
      <c r="L74" s="13">
        <v>154</v>
      </c>
      <c r="M74" s="13">
        <v>86</v>
      </c>
      <c r="N74" s="13">
        <v>92</v>
      </c>
      <c r="O74" s="22">
        <v>96</v>
      </c>
      <c r="P74" s="22">
        <v>92</v>
      </c>
      <c r="Q74" s="22">
        <v>87</v>
      </c>
      <c r="R74" s="22">
        <v>89</v>
      </c>
      <c r="S74" s="48">
        <v>103</v>
      </c>
      <c r="T74" s="48">
        <v>129</v>
      </c>
      <c r="U74" s="48">
        <v>145</v>
      </c>
      <c r="V74" s="48">
        <v>150</v>
      </c>
      <c r="W74" s="48">
        <v>143</v>
      </c>
      <c r="X74" s="48">
        <v>136</v>
      </c>
    </row>
    <row r="75" spans="1:24" ht="12.75">
      <c r="A75" s="252" t="s">
        <v>36</v>
      </c>
      <c r="B75" s="252"/>
      <c r="C75" s="252"/>
      <c r="D75" s="64"/>
      <c r="E75" s="64" t="s">
        <v>209</v>
      </c>
      <c r="F75" s="13">
        <v>895</v>
      </c>
      <c r="G75" s="13">
        <v>90</v>
      </c>
      <c r="H75" s="13">
        <v>92.4</v>
      </c>
      <c r="I75" s="13">
        <v>90.2</v>
      </c>
      <c r="J75" s="13">
        <v>93</v>
      </c>
      <c r="K75" s="13">
        <v>96</v>
      </c>
      <c r="L75" s="13">
        <v>102</v>
      </c>
      <c r="M75" s="13">
        <v>102</v>
      </c>
      <c r="N75" s="13">
        <v>95</v>
      </c>
      <c r="O75" s="22">
        <v>91</v>
      </c>
      <c r="P75" s="22">
        <v>102</v>
      </c>
      <c r="Q75" s="22">
        <v>110</v>
      </c>
      <c r="R75" s="22">
        <v>114</v>
      </c>
      <c r="S75" s="48">
        <v>142</v>
      </c>
      <c r="T75" s="48">
        <v>178</v>
      </c>
      <c r="U75" s="48">
        <v>193</v>
      </c>
      <c r="V75" s="48">
        <v>202</v>
      </c>
      <c r="W75" s="48">
        <v>201</v>
      </c>
      <c r="X75" s="48">
        <v>209</v>
      </c>
    </row>
    <row r="76" spans="1:24" ht="12.75">
      <c r="A76" s="252" t="s">
        <v>36</v>
      </c>
      <c r="B76" s="252"/>
      <c r="C76" s="252"/>
      <c r="D76" s="64"/>
      <c r="E76" s="64" t="s">
        <v>210</v>
      </c>
      <c r="F76" s="65">
        <v>272</v>
      </c>
      <c r="G76" s="65">
        <v>80</v>
      </c>
      <c r="H76" s="66">
        <v>70.68</v>
      </c>
      <c r="I76" s="13">
        <v>70.36</v>
      </c>
      <c r="J76" s="13">
        <v>74</v>
      </c>
      <c r="K76" s="13">
        <v>93</v>
      </c>
      <c r="L76" s="13">
        <v>148</v>
      </c>
      <c r="M76" s="13">
        <v>148</v>
      </c>
      <c r="N76" s="13">
        <v>186</v>
      </c>
      <c r="O76" s="22">
        <v>191</v>
      </c>
      <c r="P76" s="22">
        <v>214</v>
      </c>
      <c r="Q76" s="22">
        <v>145</v>
      </c>
      <c r="R76" s="22">
        <v>134</v>
      </c>
      <c r="S76" s="48">
        <v>160</v>
      </c>
      <c r="T76" s="48">
        <v>171</v>
      </c>
      <c r="U76" s="48">
        <v>189</v>
      </c>
      <c r="V76" s="48">
        <v>201</v>
      </c>
      <c r="W76" s="48">
        <v>214</v>
      </c>
      <c r="X76" s="48">
        <v>205</v>
      </c>
    </row>
    <row r="77" spans="1:24" ht="12.75">
      <c r="A77" s="252" t="s">
        <v>36</v>
      </c>
      <c r="B77" s="252"/>
      <c r="C77" s="252"/>
      <c r="D77" s="64"/>
      <c r="E77" s="64" t="s">
        <v>211</v>
      </c>
      <c r="F77" s="65">
        <v>33</v>
      </c>
      <c r="G77" s="65">
        <v>82</v>
      </c>
      <c r="H77" s="66">
        <v>81.8</v>
      </c>
      <c r="I77" s="13">
        <v>82.4</v>
      </c>
      <c r="J77" s="13">
        <v>70</v>
      </c>
      <c r="K77" s="13">
        <v>99</v>
      </c>
      <c r="L77" s="13">
        <v>59</v>
      </c>
      <c r="M77" s="13">
        <v>59</v>
      </c>
      <c r="N77" s="13">
        <v>55</v>
      </c>
      <c r="O77" s="22">
        <v>58</v>
      </c>
      <c r="P77" s="22">
        <v>68</v>
      </c>
      <c r="Q77" s="22">
        <v>69</v>
      </c>
      <c r="R77" s="22">
        <v>72</v>
      </c>
      <c r="S77" s="48">
        <v>77</v>
      </c>
      <c r="T77" s="48">
        <v>83</v>
      </c>
      <c r="U77" s="48">
        <v>91</v>
      </c>
      <c r="V77" s="48">
        <v>91</v>
      </c>
      <c r="W77" s="48">
        <v>89</v>
      </c>
      <c r="X77" s="48">
        <v>94</v>
      </c>
    </row>
    <row r="78" spans="1:24" ht="12.75">
      <c r="A78" s="252" t="s">
        <v>36</v>
      </c>
      <c r="B78" s="252"/>
      <c r="C78" s="252"/>
      <c r="D78" s="64"/>
      <c r="E78" s="64" t="s">
        <v>212</v>
      </c>
      <c r="F78" s="65" t="s">
        <v>30</v>
      </c>
      <c r="G78" s="65" t="s">
        <v>30</v>
      </c>
      <c r="H78" s="66" t="s">
        <v>30</v>
      </c>
      <c r="I78" s="13" t="s">
        <v>30</v>
      </c>
      <c r="J78" s="13" t="s">
        <v>30</v>
      </c>
      <c r="K78" s="13" t="s">
        <v>30</v>
      </c>
      <c r="L78" s="13">
        <v>47</v>
      </c>
      <c r="M78" s="13">
        <v>47</v>
      </c>
      <c r="N78" s="13">
        <v>51</v>
      </c>
      <c r="O78" s="22">
        <v>49</v>
      </c>
      <c r="P78" s="22">
        <v>56</v>
      </c>
      <c r="Q78" s="22">
        <v>58</v>
      </c>
      <c r="R78" s="22">
        <v>57</v>
      </c>
      <c r="S78" s="48">
        <v>55</v>
      </c>
      <c r="T78" s="48">
        <v>59</v>
      </c>
      <c r="U78" s="48">
        <v>63</v>
      </c>
      <c r="V78" s="48">
        <v>68</v>
      </c>
      <c r="W78" s="48">
        <v>64</v>
      </c>
      <c r="X78" s="48">
        <v>61</v>
      </c>
    </row>
    <row r="79" spans="1:24" ht="12.75">
      <c r="A79" s="252" t="s">
        <v>36</v>
      </c>
      <c r="B79" s="252"/>
      <c r="C79" s="252"/>
      <c r="D79" s="64"/>
      <c r="E79" s="64" t="s">
        <v>213</v>
      </c>
      <c r="F79" s="65">
        <v>109</v>
      </c>
      <c r="G79" s="65">
        <v>92</v>
      </c>
      <c r="H79" s="65">
        <v>66</v>
      </c>
      <c r="I79" s="13">
        <v>48</v>
      </c>
      <c r="J79" s="13">
        <v>30</v>
      </c>
      <c r="K79" s="13">
        <v>21</v>
      </c>
      <c r="L79" s="13">
        <v>7</v>
      </c>
      <c r="M79" s="13">
        <v>7</v>
      </c>
      <c r="N79" s="13">
        <v>6</v>
      </c>
      <c r="O79" s="22">
        <v>4</v>
      </c>
      <c r="P79" s="22">
        <v>3</v>
      </c>
      <c r="Q79" s="22">
        <v>2</v>
      </c>
      <c r="R79" s="22">
        <v>8</v>
      </c>
      <c r="S79" s="48">
        <v>11</v>
      </c>
      <c r="T79" s="48">
        <v>17</v>
      </c>
      <c r="U79" s="48">
        <v>20</v>
      </c>
      <c r="V79" s="48">
        <v>22</v>
      </c>
      <c r="W79" s="48">
        <v>22</v>
      </c>
      <c r="X79" s="48">
        <v>24</v>
      </c>
    </row>
    <row r="80" spans="1:24" ht="12.75">
      <c r="A80" s="252" t="s">
        <v>36</v>
      </c>
      <c r="B80" s="252"/>
      <c r="C80" s="252"/>
      <c r="D80" s="64"/>
      <c r="E80" s="64" t="s">
        <v>214</v>
      </c>
      <c r="F80" s="65">
        <v>51</v>
      </c>
      <c r="G80" s="65" t="s">
        <v>30</v>
      </c>
      <c r="H80" s="65">
        <v>1</v>
      </c>
      <c r="I80" s="13">
        <v>8</v>
      </c>
      <c r="J80" s="13">
        <v>16</v>
      </c>
      <c r="K80" s="13">
        <v>25</v>
      </c>
      <c r="L80" s="13">
        <v>21</v>
      </c>
      <c r="M80" s="13">
        <v>21</v>
      </c>
      <c r="N80" s="13">
        <v>21</v>
      </c>
      <c r="O80" s="22">
        <v>24</v>
      </c>
      <c r="P80" s="22">
        <v>27</v>
      </c>
      <c r="Q80" s="22">
        <v>28</v>
      </c>
      <c r="R80" s="22">
        <v>28</v>
      </c>
      <c r="S80" s="48">
        <v>32</v>
      </c>
      <c r="T80" s="48">
        <v>42</v>
      </c>
      <c r="U80" s="48">
        <v>47</v>
      </c>
      <c r="V80" s="48">
        <v>50</v>
      </c>
      <c r="W80" s="48">
        <v>53</v>
      </c>
      <c r="X80" s="48">
        <v>57</v>
      </c>
    </row>
    <row r="81" spans="1:24" ht="12.75">
      <c r="A81" s="252" t="s">
        <v>36</v>
      </c>
      <c r="B81" s="252"/>
      <c r="C81" s="252"/>
      <c r="D81" s="64"/>
      <c r="E81" s="64" t="s">
        <v>215</v>
      </c>
      <c r="F81" s="65">
        <v>161</v>
      </c>
      <c r="G81" s="65" t="s">
        <v>30</v>
      </c>
      <c r="H81" s="65" t="s">
        <v>30</v>
      </c>
      <c r="I81" s="13">
        <v>2.2</v>
      </c>
      <c r="J81" s="13">
        <v>14</v>
      </c>
      <c r="K81" s="13">
        <v>16</v>
      </c>
      <c r="L81" s="13">
        <v>17</v>
      </c>
      <c r="M81" s="13">
        <v>17</v>
      </c>
      <c r="N81" s="13">
        <v>15</v>
      </c>
      <c r="O81" s="22">
        <v>17</v>
      </c>
      <c r="P81" s="22">
        <v>17</v>
      </c>
      <c r="Q81" s="22">
        <v>18</v>
      </c>
      <c r="R81" s="22">
        <v>19</v>
      </c>
      <c r="S81" s="48">
        <v>24</v>
      </c>
      <c r="T81" s="48">
        <v>26</v>
      </c>
      <c r="U81" s="48">
        <v>27</v>
      </c>
      <c r="V81" s="48">
        <v>29</v>
      </c>
      <c r="W81" s="48">
        <v>37</v>
      </c>
      <c r="X81" s="48">
        <v>37</v>
      </c>
    </row>
    <row r="82" spans="1:24" ht="12.75">
      <c r="A82" s="252" t="s">
        <v>36</v>
      </c>
      <c r="B82" s="252"/>
      <c r="C82" s="252"/>
      <c r="D82" s="64"/>
      <c r="E82" s="64" t="s">
        <v>93</v>
      </c>
      <c r="F82" s="65">
        <v>227</v>
      </c>
      <c r="G82" s="65">
        <v>6</v>
      </c>
      <c r="H82" s="65">
        <v>2</v>
      </c>
      <c r="I82" s="13">
        <v>20</v>
      </c>
      <c r="J82" s="65" t="s">
        <v>30</v>
      </c>
      <c r="K82" s="65">
        <v>9</v>
      </c>
      <c r="L82" s="65">
        <v>0</v>
      </c>
      <c r="M82" s="65">
        <v>0</v>
      </c>
      <c r="N82" s="65">
        <v>0</v>
      </c>
      <c r="O82" s="13" t="s">
        <v>30</v>
      </c>
      <c r="P82" s="13" t="s">
        <v>30</v>
      </c>
      <c r="Q82" s="13" t="s">
        <v>30</v>
      </c>
      <c r="R82" s="13" t="s">
        <v>30</v>
      </c>
      <c r="S82" s="13" t="s">
        <v>30</v>
      </c>
      <c r="T82" s="13" t="s">
        <v>30</v>
      </c>
      <c r="U82" s="13" t="s">
        <v>30</v>
      </c>
      <c r="V82" s="13" t="s">
        <v>30</v>
      </c>
      <c r="W82" s="13" t="s">
        <v>30</v>
      </c>
      <c r="X82" s="13" t="s">
        <v>30</v>
      </c>
    </row>
    <row r="83" spans="1:24" s="62" customFormat="1" ht="12.75">
      <c r="A83" s="264" t="s">
        <v>27</v>
      </c>
      <c r="B83" s="264" t="s">
        <v>39</v>
      </c>
      <c r="C83" s="264"/>
      <c r="D83" s="59"/>
      <c r="E83" s="59" t="s">
        <v>216</v>
      </c>
      <c r="F83" s="14">
        <f aca="true" t="shared" si="10" ref="F83:X83">SUM(F70:F82)</f>
        <v>10370</v>
      </c>
      <c r="G83" s="14">
        <f t="shared" si="10"/>
        <v>7720</v>
      </c>
      <c r="H83" s="14">
        <f t="shared" si="10"/>
        <v>8633.06</v>
      </c>
      <c r="I83" s="14">
        <f t="shared" si="10"/>
        <v>8334.94</v>
      </c>
      <c r="J83" s="14">
        <f t="shared" si="10"/>
        <v>6604</v>
      </c>
      <c r="K83" s="14">
        <f t="shared" si="10"/>
        <v>5143</v>
      </c>
      <c r="L83" s="14">
        <f t="shared" si="10"/>
        <v>4206</v>
      </c>
      <c r="M83" s="14">
        <f t="shared" si="10"/>
        <v>3990</v>
      </c>
      <c r="N83" s="14">
        <f t="shared" si="10"/>
        <v>2900</v>
      </c>
      <c r="O83" s="14">
        <f t="shared" si="10"/>
        <v>2965</v>
      </c>
      <c r="P83" s="14">
        <f t="shared" si="10"/>
        <v>2989</v>
      </c>
      <c r="Q83" s="14">
        <f t="shared" si="10"/>
        <v>2282</v>
      </c>
      <c r="R83" s="14">
        <f t="shared" si="10"/>
        <v>2297</v>
      </c>
      <c r="S83" s="14">
        <f t="shared" si="10"/>
        <v>2534</v>
      </c>
      <c r="T83" s="14">
        <f t="shared" si="10"/>
        <v>2756</v>
      </c>
      <c r="U83" s="14">
        <f t="shared" si="10"/>
        <v>3341</v>
      </c>
      <c r="V83" s="14">
        <f t="shared" si="10"/>
        <v>3573</v>
      </c>
      <c r="W83" s="14">
        <f t="shared" si="10"/>
        <v>3843</v>
      </c>
      <c r="X83" s="14">
        <f t="shared" si="10"/>
        <v>3692</v>
      </c>
    </row>
    <row r="84" spans="1:24" ht="12.75">
      <c r="A84" s="252" t="s">
        <v>38</v>
      </c>
      <c r="B84" s="252"/>
      <c r="C84" s="252"/>
      <c r="D84" s="64"/>
      <c r="E84" s="64"/>
      <c r="F84" s="13"/>
      <c r="G84" s="13"/>
      <c r="H84" s="13"/>
      <c r="I84" s="13"/>
      <c r="J84" s="13"/>
      <c r="K84" s="13"/>
      <c r="N84" s="60"/>
      <c r="O84" s="22"/>
      <c r="P84" s="22"/>
      <c r="Q84" s="22"/>
      <c r="R84" s="22"/>
      <c r="S84" s="22"/>
      <c r="T84" s="22"/>
      <c r="U84" s="22"/>
      <c r="V84" s="22"/>
      <c r="W84" s="22"/>
      <c r="X84" s="22"/>
    </row>
    <row r="85" spans="1:24" ht="12.75">
      <c r="A85" s="252" t="s">
        <v>35</v>
      </c>
      <c r="B85" s="252"/>
      <c r="C85" s="252"/>
      <c r="D85" s="59"/>
      <c r="E85" s="59" t="s">
        <v>217</v>
      </c>
      <c r="F85" s="65"/>
      <c r="G85" s="65"/>
      <c r="H85" s="65"/>
      <c r="I85" s="65"/>
      <c r="J85" s="65"/>
      <c r="N85" s="60"/>
      <c r="O85" s="22"/>
      <c r="P85" s="22"/>
      <c r="Q85" s="22"/>
      <c r="R85" s="22"/>
      <c r="S85" s="22"/>
      <c r="T85" s="22"/>
      <c r="U85" s="22"/>
      <c r="V85" s="22"/>
      <c r="W85" s="22"/>
      <c r="X85" s="22"/>
    </row>
    <row r="86" spans="1:24" s="62" customFormat="1" ht="12.75">
      <c r="A86" s="264" t="s">
        <v>27</v>
      </c>
      <c r="B86" s="264"/>
      <c r="C86" s="264"/>
      <c r="D86" s="59"/>
      <c r="E86" s="59" t="s">
        <v>218</v>
      </c>
      <c r="F86" s="67" t="s">
        <v>30</v>
      </c>
      <c r="G86" s="67" t="s">
        <v>30</v>
      </c>
      <c r="H86" s="67" t="s">
        <v>30</v>
      </c>
      <c r="I86" s="67" t="s">
        <v>30</v>
      </c>
      <c r="J86" s="67" t="s">
        <v>30</v>
      </c>
      <c r="K86" s="67" t="s">
        <v>30</v>
      </c>
      <c r="L86" s="67" t="s">
        <v>30</v>
      </c>
      <c r="M86" s="67" t="s">
        <v>30</v>
      </c>
      <c r="N86" s="67" t="s">
        <v>30</v>
      </c>
      <c r="O86" s="67" t="s">
        <v>30</v>
      </c>
      <c r="P86" s="67" t="s">
        <v>30</v>
      </c>
      <c r="Q86" s="67" t="s">
        <v>30</v>
      </c>
      <c r="R86" s="67" t="s">
        <v>30</v>
      </c>
      <c r="S86" s="67" t="s">
        <v>30</v>
      </c>
      <c r="T86" s="67" t="s">
        <v>30</v>
      </c>
      <c r="U86" s="67" t="s">
        <v>30</v>
      </c>
      <c r="V86" s="67">
        <v>19</v>
      </c>
      <c r="W86" s="14">
        <v>29</v>
      </c>
      <c r="X86" s="14">
        <v>44</v>
      </c>
    </row>
    <row r="87" spans="1:24" s="62" customFormat="1" ht="12.75">
      <c r="A87" s="264" t="s">
        <v>27</v>
      </c>
      <c r="B87" s="264" t="s">
        <v>39</v>
      </c>
      <c r="C87" s="264"/>
      <c r="D87" s="59"/>
      <c r="E87" s="59" t="s">
        <v>219</v>
      </c>
      <c r="F87" s="14">
        <v>10370</v>
      </c>
      <c r="G87" s="14">
        <v>7720</v>
      </c>
      <c r="H87" s="14">
        <v>8633.06</v>
      </c>
      <c r="I87" s="14">
        <v>8334.94</v>
      </c>
      <c r="J87" s="14">
        <f aca="true" t="shared" si="11" ref="J87:Q87">+J83</f>
        <v>6604</v>
      </c>
      <c r="K87" s="14">
        <f t="shared" si="11"/>
        <v>5143</v>
      </c>
      <c r="L87" s="14">
        <f t="shared" si="11"/>
        <v>4206</v>
      </c>
      <c r="M87" s="14">
        <f t="shared" si="11"/>
        <v>3990</v>
      </c>
      <c r="N87" s="14">
        <f t="shared" si="11"/>
        <v>2900</v>
      </c>
      <c r="O87" s="14">
        <f t="shared" si="11"/>
        <v>2965</v>
      </c>
      <c r="P87" s="14">
        <f t="shared" si="11"/>
        <v>2989</v>
      </c>
      <c r="Q87" s="14">
        <f t="shared" si="11"/>
        <v>2282</v>
      </c>
      <c r="R87" s="14">
        <f>+R83</f>
        <v>2297</v>
      </c>
      <c r="S87" s="14">
        <f>+S83</f>
        <v>2534</v>
      </c>
      <c r="T87" s="14">
        <f>+T83</f>
        <v>2756</v>
      </c>
      <c r="U87" s="14">
        <f>+U83</f>
        <v>3341</v>
      </c>
      <c r="V87" s="14">
        <f>+V83+V86</f>
        <v>3592</v>
      </c>
      <c r="W87" s="14">
        <f>+W83+W86</f>
        <v>3872</v>
      </c>
      <c r="X87" s="14">
        <f>+X83+X86</f>
        <v>3736</v>
      </c>
    </row>
    <row r="88" spans="1:24" ht="12.75">
      <c r="A88" s="252" t="s">
        <v>38</v>
      </c>
      <c r="B88" s="252"/>
      <c r="C88" s="252"/>
      <c r="D88" s="64"/>
      <c r="E88" s="64"/>
      <c r="F88" s="60"/>
      <c r="G88" s="60"/>
      <c r="M88" s="53"/>
      <c r="N88" s="60"/>
      <c r="O88" s="22"/>
      <c r="P88" s="22"/>
      <c r="Q88" s="22"/>
      <c r="R88" s="22"/>
      <c r="S88" s="22"/>
      <c r="T88" s="22"/>
      <c r="U88" s="22"/>
      <c r="V88" s="22"/>
      <c r="W88" s="22"/>
      <c r="X88" s="22"/>
    </row>
    <row r="89" spans="1:24" s="41" customFormat="1" ht="12.75">
      <c r="A89" s="245" t="s">
        <v>35</v>
      </c>
      <c r="B89" s="245"/>
      <c r="C89" s="245"/>
      <c r="D89" s="136"/>
      <c r="E89" s="136" t="s">
        <v>220</v>
      </c>
      <c r="F89" s="31">
        <v>1999</v>
      </c>
      <c r="G89" s="31">
        <v>2000</v>
      </c>
      <c r="H89" s="31">
        <v>2001</v>
      </c>
      <c r="I89" s="31">
        <v>2002</v>
      </c>
      <c r="J89" s="31">
        <v>2003</v>
      </c>
      <c r="K89" s="31">
        <v>2004</v>
      </c>
      <c r="L89" s="31">
        <v>2005</v>
      </c>
      <c r="M89" s="31">
        <v>2005</v>
      </c>
      <c r="N89" s="31">
        <v>2006</v>
      </c>
      <c r="O89" s="31">
        <v>2007</v>
      </c>
      <c r="P89" s="31">
        <v>2008</v>
      </c>
      <c r="Q89" s="274">
        <v>2009</v>
      </c>
      <c r="R89" s="274">
        <v>2010</v>
      </c>
      <c r="S89" s="274">
        <v>2011</v>
      </c>
      <c r="T89" s="274">
        <v>2012</v>
      </c>
      <c r="U89" s="274">
        <f>+U6</f>
        <v>2013</v>
      </c>
      <c r="V89" s="274">
        <f>+V6</f>
        <v>2014</v>
      </c>
      <c r="W89" s="274">
        <f>+W6</f>
        <v>2015</v>
      </c>
      <c r="X89" s="274">
        <f>+X6</f>
        <v>2016</v>
      </c>
    </row>
    <row r="90" spans="1:24" s="80" customFormat="1" ht="26.25">
      <c r="A90" s="260" t="s">
        <v>571</v>
      </c>
      <c r="B90" s="265"/>
      <c r="C90" s="263"/>
      <c r="D90" s="128"/>
      <c r="E90" s="128"/>
      <c r="M90" s="268" t="s">
        <v>151</v>
      </c>
      <c r="O90" s="273"/>
      <c r="P90" s="273"/>
      <c r="Q90" s="273"/>
      <c r="R90" s="273"/>
      <c r="S90" s="273"/>
      <c r="T90" s="273"/>
      <c r="U90" s="273"/>
      <c r="V90" s="273"/>
      <c r="W90" s="273"/>
      <c r="X90" s="273"/>
    </row>
    <row r="91" spans="1:24" ht="12.75">
      <c r="A91" s="252" t="s">
        <v>36</v>
      </c>
      <c r="B91" s="252"/>
      <c r="C91" s="262"/>
      <c r="D91" s="59"/>
      <c r="E91" s="64" t="s">
        <v>232</v>
      </c>
      <c r="F91" s="60"/>
      <c r="G91" s="60"/>
      <c r="H91" s="13" t="s">
        <v>30</v>
      </c>
      <c r="I91" s="13" t="s">
        <v>30</v>
      </c>
      <c r="J91" s="13" t="s">
        <v>30</v>
      </c>
      <c r="K91" s="13" t="s">
        <v>30</v>
      </c>
      <c r="L91" s="13" t="s">
        <v>30</v>
      </c>
      <c r="M91" s="13" t="s">
        <v>30</v>
      </c>
      <c r="N91" s="13" t="s">
        <v>30</v>
      </c>
      <c r="O91" s="13" t="s">
        <v>30</v>
      </c>
      <c r="P91" s="13" t="s">
        <v>30</v>
      </c>
      <c r="Q91" s="13" t="s">
        <v>30</v>
      </c>
      <c r="R91" s="13" t="s">
        <v>30</v>
      </c>
      <c r="S91" s="22">
        <v>2819</v>
      </c>
      <c r="T91" s="22">
        <v>6751</v>
      </c>
      <c r="U91" s="22">
        <v>5991</v>
      </c>
      <c r="V91" s="22">
        <v>4955</v>
      </c>
      <c r="W91" s="48">
        <f>VLOOKUP(E91,FTE_2015,2,FALSE)</f>
        <v>4174</v>
      </c>
      <c r="X91" s="48">
        <v>3218</v>
      </c>
    </row>
    <row r="92" spans="1:24" ht="12.75">
      <c r="A92" s="252" t="s">
        <v>36</v>
      </c>
      <c r="B92" s="252"/>
      <c r="C92" s="252"/>
      <c r="D92" s="64"/>
      <c r="E92" s="64" t="s">
        <v>221</v>
      </c>
      <c r="F92" s="65">
        <v>359</v>
      </c>
      <c r="G92" s="65">
        <v>338</v>
      </c>
      <c r="H92" s="66">
        <v>273.5</v>
      </c>
      <c r="I92" s="13">
        <v>186.2</v>
      </c>
      <c r="J92" s="13">
        <v>178</v>
      </c>
      <c r="K92" s="13">
        <v>182</v>
      </c>
      <c r="L92" s="13">
        <v>181</v>
      </c>
      <c r="M92" s="13">
        <v>147</v>
      </c>
      <c r="N92" s="13">
        <v>109</v>
      </c>
      <c r="O92" s="22">
        <v>101</v>
      </c>
      <c r="P92" s="22">
        <v>115</v>
      </c>
      <c r="Q92" s="22">
        <v>94</v>
      </c>
      <c r="R92" s="22">
        <v>88</v>
      </c>
      <c r="S92" s="53">
        <v>93</v>
      </c>
      <c r="T92" s="48">
        <v>88</v>
      </c>
      <c r="U92" s="48">
        <v>64</v>
      </c>
      <c r="V92" s="48">
        <v>45</v>
      </c>
      <c r="W92" s="48">
        <v>44</v>
      </c>
      <c r="X92" s="48">
        <v>37</v>
      </c>
    </row>
    <row r="93" spans="1:24" ht="12.75">
      <c r="A93" s="252" t="s">
        <v>36</v>
      </c>
      <c r="B93" s="252"/>
      <c r="C93" s="252"/>
      <c r="D93" s="64"/>
      <c r="E93" s="64" t="s">
        <v>222</v>
      </c>
      <c r="F93" s="65" t="s">
        <v>30</v>
      </c>
      <c r="G93" s="65" t="s">
        <v>30</v>
      </c>
      <c r="H93" s="13" t="s">
        <v>30</v>
      </c>
      <c r="I93" s="13" t="s">
        <v>30</v>
      </c>
      <c r="J93" s="13" t="s">
        <v>30</v>
      </c>
      <c r="K93" s="13" t="s">
        <v>30</v>
      </c>
      <c r="L93" s="13" t="s">
        <v>30</v>
      </c>
      <c r="M93" s="13" t="s">
        <v>30</v>
      </c>
      <c r="N93" s="13" t="s">
        <v>30</v>
      </c>
      <c r="O93" s="13" t="s">
        <v>30</v>
      </c>
      <c r="P93" s="13" t="s">
        <v>30</v>
      </c>
      <c r="Q93" s="13" t="s">
        <v>30</v>
      </c>
      <c r="R93" s="13" t="s">
        <v>30</v>
      </c>
      <c r="S93" s="13" t="s">
        <v>30</v>
      </c>
      <c r="T93" s="13" t="s">
        <v>30</v>
      </c>
      <c r="U93" s="13" t="s">
        <v>30</v>
      </c>
      <c r="V93" s="13" t="s">
        <v>30</v>
      </c>
      <c r="W93" s="13" t="s">
        <v>30</v>
      </c>
      <c r="X93" s="13"/>
    </row>
    <row r="94" spans="1:24" ht="12.75">
      <c r="A94" s="252" t="s">
        <v>36</v>
      </c>
      <c r="B94" s="252"/>
      <c r="C94" s="252"/>
      <c r="D94" s="64"/>
      <c r="E94" s="64" t="s">
        <v>223</v>
      </c>
      <c r="F94" s="65">
        <v>36</v>
      </c>
      <c r="G94" s="65">
        <v>39</v>
      </c>
      <c r="H94" s="66">
        <v>24.2</v>
      </c>
      <c r="I94" s="13" t="s">
        <v>30</v>
      </c>
      <c r="J94" s="13" t="s">
        <v>30</v>
      </c>
      <c r="K94" s="13" t="s">
        <v>30</v>
      </c>
      <c r="L94" s="13" t="s">
        <v>30</v>
      </c>
      <c r="M94" s="13" t="s">
        <v>30</v>
      </c>
      <c r="N94" s="13" t="s">
        <v>30</v>
      </c>
      <c r="O94" s="13" t="s">
        <v>30</v>
      </c>
      <c r="P94" s="13" t="s">
        <v>30</v>
      </c>
      <c r="Q94" s="13" t="s">
        <v>30</v>
      </c>
      <c r="R94" s="13" t="s">
        <v>30</v>
      </c>
      <c r="S94" s="13" t="s">
        <v>30</v>
      </c>
      <c r="T94" s="13" t="s">
        <v>30</v>
      </c>
      <c r="U94" s="13" t="s">
        <v>30</v>
      </c>
      <c r="V94" s="13" t="s">
        <v>30</v>
      </c>
      <c r="W94" s="13" t="s">
        <v>30</v>
      </c>
      <c r="X94" s="13"/>
    </row>
    <row r="95" spans="1:24" s="62" customFormat="1" ht="12.75">
      <c r="A95" s="264" t="s">
        <v>27</v>
      </c>
      <c r="B95" s="264" t="s">
        <v>39</v>
      </c>
      <c r="C95" s="264"/>
      <c r="D95" s="59"/>
      <c r="E95" s="59" t="s">
        <v>224</v>
      </c>
      <c r="F95" s="14">
        <v>395</v>
      </c>
      <c r="G95" s="14">
        <v>377</v>
      </c>
      <c r="H95" s="14">
        <v>297.7</v>
      </c>
      <c r="I95" s="14">
        <v>186.2</v>
      </c>
      <c r="J95" s="14">
        <v>178</v>
      </c>
      <c r="K95" s="14">
        <v>182</v>
      </c>
      <c r="L95" s="14">
        <f aca="true" t="shared" si="12" ref="L95:R95">SUM(L92:L94)</f>
        <v>181</v>
      </c>
      <c r="M95" s="14">
        <f t="shared" si="12"/>
        <v>147</v>
      </c>
      <c r="N95" s="14">
        <f t="shared" si="12"/>
        <v>109</v>
      </c>
      <c r="O95" s="14">
        <f t="shared" si="12"/>
        <v>101</v>
      </c>
      <c r="P95" s="14">
        <f t="shared" si="12"/>
        <v>115</v>
      </c>
      <c r="Q95" s="14">
        <f t="shared" si="12"/>
        <v>94</v>
      </c>
      <c r="R95" s="14">
        <f t="shared" si="12"/>
        <v>88</v>
      </c>
      <c r="S95" s="14">
        <f aca="true" t="shared" si="13" ref="S95:X95">SUM(S91:S94)</f>
        <v>2912</v>
      </c>
      <c r="T95" s="14">
        <f t="shared" si="13"/>
        <v>6839</v>
      </c>
      <c r="U95" s="14">
        <f t="shared" si="13"/>
        <v>6055</v>
      </c>
      <c r="V95" s="14">
        <f t="shared" si="13"/>
        <v>5000</v>
      </c>
      <c r="W95" s="14">
        <f t="shared" si="13"/>
        <v>4218</v>
      </c>
      <c r="X95" s="14">
        <f t="shared" si="13"/>
        <v>3255</v>
      </c>
    </row>
    <row r="96" spans="1:24" ht="12.75">
      <c r="A96" s="252" t="s">
        <v>38</v>
      </c>
      <c r="B96" s="252"/>
      <c r="C96" s="252"/>
      <c r="D96" s="64"/>
      <c r="E96" s="64"/>
      <c r="F96" s="65"/>
      <c r="G96" s="65"/>
      <c r="H96" s="65"/>
      <c r="I96" s="65"/>
      <c r="J96" s="65"/>
      <c r="M96" s="53"/>
      <c r="N96" s="60"/>
      <c r="O96" s="60"/>
      <c r="Q96" s="60"/>
      <c r="R96" s="60"/>
      <c r="S96" s="60"/>
      <c r="T96" s="60"/>
      <c r="U96" s="60"/>
      <c r="V96" s="60"/>
      <c r="W96" s="60"/>
      <c r="X96" s="60"/>
    </row>
    <row r="97" spans="1:24" s="126" customFormat="1" ht="12.75">
      <c r="A97" s="256" t="s">
        <v>35</v>
      </c>
      <c r="B97" s="256"/>
      <c r="C97" s="256"/>
      <c r="D97" s="136"/>
      <c r="E97" s="136" t="s">
        <v>225</v>
      </c>
      <c r="F97" s="126">
        <v>1999</v>
      </c>
      <c r="G97" s="126">
        <v>2000</v>
      </c>
      <c r="H97" s="126">
        <v>2001</v>
      </c>
      <c r="I97" s="126">
        <v>2002</v>
      </c>
      <c r="J97" s="126">
        <v>2003</v>
      </c>
      <c r="K97" s="126">
        <v>2004</v>
      </c>
      <c r="L97" s="126">
        <v>2005</v>
      </c>
      <c r="M97" s="126">
        <v>2005</v>
      </c>
      <c r="N97" s="126">
        <v>2006</v>
      </c>
      <c r="O97" s="126">
        <v>2007</v>
      </c>
      <c r="P97" s="126">
        <v>2008</v>
      </c>
      <c r="Q97" s="272">
        <v>2009</v>
      </c>
      <c r="R97" s="272">
        <v>2010</v>
      </c>
      <c r="S97" s="272">
        <v>2011</v>
      </c>
      <c r="T97" s="272">
        <v>2012</v>
      </c>
      <c r="U97" s="272">
        <f>+U6</f>
        <v>2013</v>
      </c>
      <c r="V97" s="272">
        <f>+V6</f>
        <v>2014</v>
      </c>
      <c r="W97" s="272">
        <f>+W6</f>
        <v>2015</v>
      </c>
      <c r="X97" s="272">
        <f>+X6</f>
        <v>2016</v>
      </c>
    </row>
    <row r="98" spans="1:24" ht="26.25">
      <c r="A98" s="252" t="s">
        <v>571</v>
      </c>
      <c r="B98" s="270"/>
      <c r="C98" s="262"/>
      <c r="D98" s="59"/>
      <c r="E98" s="59"/>
      <c r="F98" s="53"/>
      <c r="G98" s="53"/>
      <c r="H98" s="53"/>
      <c r="I98" s="53"/>
      <c r="J98" s="53"/>
      <c r="K98" s="53"/>
      <c r="L98" s="53"/>
      <c r="M98" s="275" t="s">
        <v>151</v>
      </c>
      <c r="O98" s="48"/>
      <c r="P98" s="48"/>
      <c r="Q98" s="48"/>
      <c r="R98" s="48"/>
      <c r="S98" s="48"/>
      <c r="T98" s="48"/>
      <c r="U98" s="48"/>
      <c r="V98" s="48"/>
      <c r="W98" s="48"/>
      <c r="X98" s="48"/>
    </row>
    <row r="99" spans="1:24" ht="12.75">
      <c r="A99" s="252" t="s">
        <v>36</v>
      </c>
      <c r="B99" s="252"/>
      <c r="C99" s="252"/>
      <c r="D99" s="64"/>
      <c r="E99" s="64" t="s">
        <v>226</v>
      </c>
      <c r="F99" s="65">
        <v>315</v>
      </c>
      <c r="G99" s="65">
        <v>203</v>
      </c>
      <c r="H99" s="65">
        <v>3444.8</v>
      </c>
      <c r="I99" s="13">
        <v>4217.6</v>
      </c>
      <c r="J99" s="13">
        <v>4018</v>
      </c>
      <c r="K99" s="13">
        <v>3532</v>
      </c>
      <c r="L99" s="13">
        <v>3068</v>
      </c>
      <c r="M99" s="13">
        <v>2910</v>
      </c>
      <c r="N99" s="13">
        <v>2487</v>
      </c>
      <c r="O99" s="22">
        <v>2144</v>
      </c>
      <c r="P99" s="22">
        <v>1756</v>
      </c>
      <c r="Q99" s="22">
        <v>1605</v>
      </c>
      <c r="R99" s="22">
        <v>1580</v>
      </c>
      <c r="S99" s="48">
        <v>1606</v>
      </c>
      <c r="T99" s="48">
        <v>1576</v>
      </c>
      <c r="U99" s="48">
        <v>1546</v>
      </c>
      <c r="V99" s="48">
        <v>1452</v>
      </c>
      <c r="W99" s="48">
        <v>1320</v>
      </c>
      <c r="X99" s="48">
        <v>1085</v>
      </c>
    </row>
    <row r="100" spans="1:24" ht="12.75">
      <c r="A100" s="252" t="s">
        <v>36</v>
      </c>
      <c r="B100" s="252"/>
      <c r="C100" s="252"/>
      <c r="D100" s="64"/>
      <c r="E100" s="64" t="s">
        <v>227</v>
      </c>
      <c r="F100" s="65">
        <v>82</v>
      </c>
      <c r="G100" s="65">
        <v>55</v>
      </c>
      <c r="H100" s="65">
        <v>235.8</v>
      </c>
      <c r="I100" s="13">
        <v>225.2</v>
      </c>
      <c r="J100" s="13">
        <v>229</v>
      </c>
      <c r="K100" s="13">
        <v>223</v>
      </c>
      <c r="L100" s="13">
        <v>171</v>
      </c>
      <c r="M100" s="13">
        <v>148</v>
      </c>
      <c r="N100" s="13">
        <v>70</v>
      </c>
      <c r="O100" s="22">
        <v>68</v>
      </c>
      <c r="P100" s="22">
        <v>65</v>
      </c>
      <c r="Q100" s="22">
        <v>54</v>
      </c>
      <c r="R100" s="22">
        <v>49</v>
      </c>
      <c r="S100" s="48">
        <v>49</v>
      </c>
      <c r="T100" s="48">
        <v>46</v>
      </c>
      <c r="U100" s="48">
        <v>47</v>
      </c>
      <c r="V100" s="48">
        <v>46</v>
      </c>
      <c r="W100" s="48">
        <v>49</v>
      </c>
      <c r="X100" s="48">
        <v>51</v>
      </c>
    </row>
    <row r="101" spans="1:24" s="62" customFormat="1" ht="12.75">
      <c r="A101" s="264" t="s">
        <v>27</v>
      </c>
      <c r="B101" s="264" t="s">
        <v>39</v>
      </c>
      <c r="C101" s="264"/>
      <c r="D101" s="59"/>
      <c r="E101" s="59" t="s">
        <v>228</v>
      </c>
      <c r="F101" s="14">
        <v>397</v>
      </c>
      <c r="G101" s="14">
        <v>258</v>
      </c>
      <c r="H101" s="14">
        <v>3680.6</v>
      </c>
      <c r="I101" s="14">
        <v>4442.8</v>
      </c>
      <c r="J101" s="14">
        <v>4247</v>
      </c>
      <c r="K101" s="14">
        <f aca="true" t="shared" si="14" ref="K101:R101">SUM(K99:K100)</f>
        <v>3755</v>
      </c>
      <c r="L101" s="14">
        <f t="shared" si="14"/>
        <v>3239</v>
      </c>
      <c r="M101" s="14">
        <f t="shared" si="14"/>
        <v>3058</v>
      </c>
      <c r="N101" s="14">
        <f t="shared" si="14"/>
        <v>2557</v>
      </c>
      <c r="O101" s="14">
        <f t="shared" si="14"/>
        <v>2212</v>
      </c>
      <c r="P101" s="14">
        <f t="shared" si="14"/>
        <v>1821</v>
      </c>
      <c r="Q101" s="14">
        <f t="shared" si="14"/>
        <v>1659</v>
      </c>
      <c r="R101" s="14">
        <f t="shared" si="14"/>
        <v>1629</v>
      </c>
      <c r="S101" s="14">
        <f aca="true" t="shared" si="15" ref="S101:X101">SUM(S99:S100)</f>
        <v>1655</v>
      </c>
      <c r="T101" s="14">
        <f t="shared" si="15"/>
        <v>1622</v>
      </c>
      <c r="U101" s="14">
        <f t="shared" si="15"/>
        <v>1593</v>
      </c>
      <c r="V101" s="14">
        <f t="shared" si="15"/>
        <v>1498</v>
      </c>
      <c r="W101" s="14">
        <f t="shared" si="15"/>
        <v>1369</v>
      </c>
      <c r="X101" s="14">
        <f t="shared" si="15"/>
        <v>1136</v>
      </c>
    </row>
    <row r="102" spans="1:24" ht="12.75">
      <c r="A102" s="252" t="s">
        <v>38</v>
      </c>
      <c r="B102" s="252"/>
      <c r="C102" s="252"/>
      <c r="D102" s="64"/>
      <c r="E102" s="64"/>
      <c r="F102" s="60"/>
      <c r="G102" s="60"/>
      <c r="M102" s="53"/>
      <c r="N102" s="60"/>
      <c r="O102" s="60"/>
      <c r="Q102" s="60"/>
      <c r="R102" s="60"/>
      <c r="S102" s="22"/>
      <c r="T102" s="22"/>
      <c r="U102" s="22"/>
      <c r="V102" s="22"/>
      <c r="W102" s="22"/>
      <c r="X102" s="22"/>
    </row>
    <row r="103" spans="1:24" s="62" customFormat="1" ht="12.75">
      <c r="A103" s="264" t="s">
        <v>35</v>
      </c>
      <c r="B103" s="264"/>
      <c r="C103" s="264"/>
      <c r="D103" s="59"/>
      <c r="E103" s="59" t="s">
        <v>229</v>
      </c>
      <c r="F103" s="67">
        <v>1999</v>
      </c>
      <c r="G103" s="67">
        <v>2000</v>
      </c>
      <c r="H103" s="67">
        <v>2001</v>
      </c>
      <c r="I103" s="62">
        <v>2002</v>
      </c>
      <c r="J103" s="62">
        <v>2003</v>
      </c>
      <c r="K103" s="62">
        <v>2004</v>
      </c>
      <c r="L103" s="62">
        <v>2005</v>
      </c>
      <c r="M103" s="62">
        <v>2005</v>
      </c>
      <c r="N103" s="62">
        <v>2006</v>
      </c>
      <c r="O103" s="62">
        <v>2007</v>
      </c>
      <c r="P103" s="62">
        <v>2008</v>
      </c>
      <c r="Q103" s="271">
        <v>2009</v>
      </c>
      <c r="R103" s="271">
        <v>2010</v>
      </c>
      <c r="S103" s="271">
        <v>2011</v>
      </c>
      <c r="T103" s="271">
        <v>2012</v>
      </c>
      <c r="U103" s="271">
        <f>+U6</f>
        <v>2013</v>
      </c>
      <c r="V103" s="271">
        <f>+V6</f>
        <v>2014</v>
      </c>
      <c r="W103" s="271">
        <f>+W6</f>
        <v>2015</v>
      </c>
      <c r="X103" s="271">
        <f>+X6</f>
        <v>2016</v>
      </c>
    </row>
    <row r="104" spans="1:13" s="80" customFormat="1" ht="26.25">
      <c r="A104" s="260" t="s">
        <v>571</v>
      </c>
      <c r="B104" s="260"/>
      <c r="C104" s="260"/>
      <c r="D104" s="128"/>
      <c r="E104" s="128"/>
      <c r="M104" s="268" t="s">
        <v>151</v>
      </c>
    </row>
    <row r="105" spans="1:24" s="62" customFormat="1" ht="12.75">
      <c r="A105" s="264" t="s">
        <v>27</v>
      </c>
      <c r="B105" s="266" t="s">
        <v>285</v>
      </c>
      <c r="C105" s="264"/>
      <c r="D105" s="59"/>
      <c r="E105" s="59" t="s">
        <v>337</v>
      </c>
      <c r="F105" s="14">
        <v>92916</v>
      </c>
      <c r="G105" s="14">
        <v>87128</v>
      </c>
      <c r="H105" s="14">
        <f aca="true" t="shared" si="16" ref="H105:X105">SUM(H44,H50,H65,H87,H95,H101)</f>
        <v>87138.37999999999</v>
      </c>
      <c r="I105" s="14">
        <f t="shared" si="16"/>
        <v>81971.04</v>
      </c>
      <c r="J105" s="14">
        <f t="shared" si="16"/>
        <v>77107</v>
      </c>
      <c r="K105" s="14">
        <f t="shared" si="16"/>
        <v>72382</v>
      </c>
      <c r="L105" s="14">
        <f t="shared" si="16"/>
        <v>69522</v>
      </c>
      <c r="M105" s="14">
        <f t="shared" si="16"/>
        <v>57858</v>
      </c>
      <c r="N105" s="14">
        <f t="shared" si="16"/>
        <v>55471</v>
      </c>
      <c r="O105" s="14">
        <f t="shared" si="16"/>
        <v>56898</v>
      </c>
      <c r="P105" s="14">
        <f t="shared" si="16"/>
        <v>55177</v>
      </c>
      <c r="Q105" s="14">
        <f t="shared" si="16"/>
        <v>50633</v>
      </c>
      <c r="R105" s="14">
        <f t="shared" si="16"/>
        <v>51544</v>
      </c>
      <c r="S105" s="14">
        <f t="shared" si="16"/>
        <v>52916</v>
      </c>
      <c r="T105" s="14">
        <f t="shared" si="16"/>
        <v>59478</v>
      </c>
      <c r="U105" s="14">
        <f t="shared" si="16"/>
        <v>60754</v>
      </c>
      <c r="V105" s="14">
        <f t="shared" si="16"/>
        <v>60038</v>
      </c>
      <c r="W105" s="14">
        <f t="shared" si="16"/>
        <v>58265</v>
      </c>
      <c r="X105" s="14">
        <f t="shared" si="16"/>
        <v>55400</v>
      </c>
    </row>
  </sheetData>
  <sheetProtection/>
  <printOptions/>
  <pageMargins left="0.75" right="0.75" top="1" bottom="1" header="0.5" footer="0.5"/>
  <pageSetup fitToHeight="1" fitToWidth="1" horizontalDpi="600" verticalDpi="600" orientation="portrait" paperSize="8" scale="66" r:id="rId1"/>
</worksheet>
</file>

<file path=xl/worksheets/sheet27.xml><?xml version="1.0" encoding="utf-8"?>
<worksheet xmlns="http://schemas.openxmlformats.org/spreadsheetml/2006/main" xmlns:r="http://schemas.openxmlformats.org/officeDocument/2006/relationships">
  <sheetPr>
    <pageSetUpPr fitToPage="1"/>
  </sheetPr>
  <dimension ref="A1:Y66"/>
  <sheetViews>
    <sheetView tabSelected="1" zoomScaleSheetLayoutView="100" zoomScalePageLayoutView="0" workbookViewId="0" topLeftCell="A1">
      <selection activeCell="E28" sqref="E28"/>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54.00390625" style="40" customWidth="1"/>
    <col min="6" max="16" width="7.57421875" style="40" customWidth="1"/>
    <col min="17" max="24" width="7.57421875" style="40" bestFit="1" customWidth="1"/>
    <col min="25" max="25" width="11.28125" style="40" customWidth="1"/>
    <col min="26" max="16384" width="9.140625" style="40" customWidth="1"/>
  </cols>
  <sheetData>
    <row r="1" spans="1:5" ht="17.25">
      <c r="A1" s="249">
        <v>42735</v>
      </c>
      <c r="B1" s="97" t="s">
        <v>141</v>
      </c>
      <c r="C1" s="98"/>
      <c r="D1" s="99" t="str">
        <f>Company</f>
        <v>AB Electrolux</v>
      </c>
      <c r="E1" s="99" t="str">
        <f>Company</f>
        <v>AB Electrolux</v>
      </c>
    </row>
    <row r="2" spans="1:9" ht="12.75">
      <c r="A2" s="250"/>
      <c r="B2" s="97" t="s">
        <v>143</v>
      </c>
      <c r="C2" s="98"/>
      <c r="D2" s="100">
        <f>A1</f>
        <v>42735</v>
      </c>
      <c r="E2" s="151">
        <f>+'Income_statement-Y'!E2</f>
        <v>42004</v>
      </c>
      <c r="F2" s="53"/>
      <c r="G2" s="53"/>
      <c r="H2" s="53"/>
      <c r="I2" s="53"/>
    </row>
    <row r="3" spans="1:17" ht="12.75">
      <c r="A3" s="250"/>
      <c r="B3" s="97" t="s">
        <v>144</v>
      </c>
      <c r="C3" s="98" t="s">
        <v>145</v>
      </c>
      <c r="D3" s="102" t="s">
        <v>146</v>
      </c>
      <c r="E3" s="152" t="s">
        <v>147</v>
      </c>
      <c r="F3" s="53"/>
      <c r="G3" s="285"/>
      <c r="H3" s="285"/>
      <c r="I3" s="53"/>
      <c r="J3" s="30"/>
      <c r="K3" s="32"/>
      <c r="L3" s="17"/>
      <c r="M3" s="17"/>
      <c r="N3" s="17"/>
      <c r="O3" s="17"/>
      <c r="P3" s="17"/>
      <c r="Q3" s="32"/>
    </row>
    <row r="4" spans="1:17" ht="12.75">
      <c r="A4" s="252" t="s">
        <v>34</v>
      </c>
      <c r="B4" s="97" t="s">
        <v>148</v>
      </c>
      <c r="D4" s="34" t="s">
        <v>235</v>
      </c>
      <c r="E4" s="77" t="s">
        <v>133</v>
      </c>
      <c r="F4" s="53"/>
      <c r="G4" s="53"/>
      <c r="H4" s="53"/>
      <c r="I4" s="53"/>
      <c r="J4" s="30"/>
      <c r="K4" s="33"/>
      <c r="L4" s="17"/>
      <c r="M4" s="17"/>
      <c r="N4" s="88"/>
      <c r="O4" s="88"/>
      <c r="P4" s="88"/>
      <c r="Q4" s="88"/>
    </row>
    <row r="5" spans="2:21" ht="12.75">
      <c r="B5" s="97" t="s">
        <v>150</v>
      </c>
      <c r="C5" s="98" t="s">
        <v>284</v>
      </c>
      <c r="E5" s="34"/>
      <c r="J5" s="30"/>
      <c r="K5" s="33"/>
      <c r="L5" s="17"/>
      <c r="M5" s="17"/>
      <c r="N5" s="88"/>
      <c r="O5" s="88"/>
      <c r="P5" s="88"/>
      <c r="Q5" s="88"/>
      <c r="U5" s="168"/>
    </row>
    <row r="6" spans="1:25" s="126" customFormat="1" ht="15">
      <c r="A6" s="256" t="s">
        <v>35</v>
      </c>
      <c r="B6" s="113" t="s">
        <v>149</v>
      </c>
      <c r="C6" s="103" t="s">
        <v>284</v>
      </c>
      <c r="D6" s="103"/>
      <c r="E6" s="161" t="s">
        <v>576</v>
      </c>
      <c r="F6" s="126">
        <v>1998</v>
      </c>
      <c r="G6" s="126">
        <v>1999</v>
      </c>
      <c r="H6" s="126">
        <v>2000</v>
      </c>
      <c r="I6" s="126">
        <v>2001</v>
      </c>
      <c r="J6" s="126">
        <v>2002</v>
      </c>
      <c r="K6" s="126">
        <v>2003</v>
      </c>
      <c r="L6" s="126">
        <v>2004</v>
      </c>
      <c r="M6" s="126">
        <v>2005</v>
      </c>
      <c r="N6" s="87" t="s">
        <v>510</v>
      </c>
      <c r="O6" s="126">
        <v>2006</v>
      </c>
      <c r="P6" s="126">
        <v>2007</v>
      </c>
      <c r="Q6" s="126">
        <v>2008</v>
      </c>
      <c r="R6" s="126">
        <v>2009</v>
      </c>
      <c r="S6" s="126">
        <v>2010</v>
      </c>
      <c r="T6" s="126">
        <v>2011</v>
      </c>
      <c r="U6" s="87" t="s">
        <v>511</v>
      </c>
      <c r="V6" s="126">
        <v>2013</v>
      </c>
      <c r="W6" s="126">
        <v>2014</v>
      </c>
      <c r="X6" s="126">
        <v>2015</v>
      </c>
      <c r="Y6" s="126">
        <v>2016</v>
      </c>
    </row>
    <row r="7" spans="1:21" s="80" customFormat="1" ht="12.75">
      <c r="A7" s="260" t="s">
        <v>571</v>
      </c>
      <c r="B7" s="282"/>
      <c r="C7" s="283"/>
      <c r="D7" s="283"/>
      <c r="E7" s="284" t="s">
        <v>491</v>
      </c>
      <c r="N7" s="81"/>
      <c r="U7" s="81"/>
    </row>
    <row r="8" spans="1:17" ht="12.75">
      <c r="A8" s="240" t="s">
        <v>35</v>
      </c>
      <c r="B8" s="240"/>
      <c r="C8" s="240"/>
      <c r="E8" s="35" t="s">
        <v>236</v>
      </c>
      <c r="J8" s="36"/>
      <c r="K8" s="17"/>
      <c r="L8" s="17"/>
      <c r="M8" s="17"/>
      <c r="N8" s="17"/>
      <c r="O8" s="17"/>
      <c r="P8" s="17"/>
      <c r="Q8" s="17"/>
    </row>
    <row r="9" spans="1:25" ht="12.75">
      <c r="A9" s="240" t="s">
        <v>36</v>
      </c>
      <c r="B9" s="240"/>
      <c r="C9" s="240"/>
      <c r="E9" s="42" t="s">
        <v>237</v>
      </c>
      <c r="F9" s="43">
        <v>117524</v>
      </c>
      <c r="G9" s="43">
        <v>119550</v>
      </c>
      <c r="H9" s="43">
        <v>124493</v>
      </c>
      <c r="I9" s="18">
        <v>135803</v>
      </c>
      <c r="J9" s="43">
        <v>133150</v>
      </c>
      <c r="K9" s="18">
        <v>124077</v>
      </c>
      <c r="L9" s="18">
        <v>120651</v>
      </c>
      <c r="M9" s="18">
        <v>129469</v>
      </c>
      <c r="N9" s="18">
        <v>100701</v>
      </c>
      <c r="O9" s="18">
        <v>103848</v>
      </c>
      <c r="P9" s="18">
        <v>104732</v>
      </c>
      <c r="Q9" s="18">
        <v>104792</v>
      </c>
      <c r="R9" s="18">
        <v>109132</v>
      </c>
      <c r="S9" s="18">
        <v>106326</v>
      </c>
      <c r="T9" s="18">
        <v>101598</v>
      </c>
      <c r="U9" s="18">
        <v>109994</v>
      </c>
      <c r="V9" s="18">
        <v>109151</v>
      </c>
      <c r="W9" s="18">
        <v>112143</v>
      </c>
      <c r="X9" s="18">
        <v>123511</v>
      </c>
      <c r="Y9" s="18">
        <v>121093</v>
      </c>
    </row>
    <row r="10" spans="1:25" ht="12.75">
      <c r="A10" s="240" t="s">
        <v>36</v>
      </c>
      <c r="B10" s="240"/>
      <c r="C10" s="240" t="s">
        <v>530</v>
      </c>
      <c r="E10" s="42" t="s">
        <v>606</v>
      </c>
      <c r="F10" s="45">
        <v>0.04</v>
      </c>
      <c r="G10" s="45">
        <v>0.041</v>
      </c>
      <c r="H10" s="45">
        <v>0.037</v>
      </c>
      <c r="I10" s="19">
        <v>-0.024</v>
      </c>
      <c r="J10" s="45">
        <v>0.055</v>
      </c>
      <c r="K10" s="19">
        <v>0.033</v>
      </c>
      <c r="L10" s="19">
        <v>0.032</v>
      </c>
      <c r="M10" s="19">
        <v>0.043</v>
      </c>
      <c r="N10" s="19">
        <v>0.045</v>
      </c>
      <c r="O10" s="19">
        <v>0.033</v>
      </c>
      <c r="P10" s="19">
        <v>0.04</v>
      </c>
      <c r="Q10" s="19">
        <v>-0.009000000000000001</v>
      </c>
      <c r="R10" s="19">
        <v>-0.048</v>
      </c>
      <c r="S10" s="19">
        <v>0.015</v>
      </c>
      <c r="T10" s="19">
        <v>0.0019999999999999996</v>
      </c>
      <c r="U10" s="19">
        <v>0.055</v>
      </c>
      <c r="V10" s="19">
        <v>0.045</v>
      </c>
      <c r="W10" s="19">
        <v>0.011</v>
      </c>
      <c r="X10" s="19">
        <v>0.022</v>
      </c>
      <c r="Y10" s="19">
        <v>-1.1</v>
      </c>
    </row>
    <row r="11" spans="1:25" ht="12.75">
      <c r="A11" s="240" t="s">
        <v>36</v>
      </c>
      <c r="B11" s="240"/>
      <c r="C11" s="240"/>
      <c r="E11" s="42" t="s">
        <v>238</v>
      </c>
      <c r="F11" s="43">
        <v>4125</v>
      </c>
      <c r="G11" s="43">
        <v>3905</v>
      </c>
      <c r="H11" s="43">
        <v>3810</v>
      </c>
      <c r="I11" s="18">
        <v>4277</v>
      </c>
      <c r="J11" s="43">
        <v>3854</v>
      </c>
      <c r="K11" s="18">
        <v>3353</v>
      </c>
      <c r="L11" s="18">
        <v>3038</v>
      </c>
      <c r="M11" s="18">
        <v>3410</v>
      </c>
      <c r="N11" s="18">
        <v>2583</v>
      </c>
      <c r="O11" s="18">
        <v>2758</v>
      </c>
      <c r="P11" s="18">
        <v>2738</v>
      </c>
      <c r="Q11" s="18">
        <v>3010</v>
      </c>
      <c r="R11" s="18">
        <v>3442</v>
      </c>
      <c r="S11" s="18">
        <v>3328</v>
      </c>
      <c r="T11" s="18">
        <v>3173</v>
      </c>
      <c r="U11" s="18">
        <v>3251</v>
      </c>
      <c r="V11" s="18">
        <v>3356</v>
      </c>
      <c r="W11" s="18">
        <v>3671</v>
      </c>
      <c r="X11" s="18">
        <v>3936</v>
      </c>
      <c r="Y11" s="18">
        <v>3934</v>
      </c>
    </row>
    <row r="12" spans="1:25" ht="15">
      <c r="A12" s="240" t="s">
        <v>36</v>
      </c>
      <c r="B12" s="240"/>
      <c r="C12" s="240"/>
      <c r="D12" s="177"/>
      <c r="E12" s="42" t="s">
        <v>523</v>
      </c>
      <c r="F12" s="43">
        <v>964</v>
      </c>
      <c r="G12" s="43">
        <v>-216</v>
      </c>
      <c r="H12" s="43">
        <v>-448</v>
      </c>
      <c r="I12" s="18">
        <v>-141</v>
      </c>
      <c r="J12" s="43">
        <v>-434</v>
      </c>
      <c r="K12" s="20">
        <v>-463</v>
      </c>
      <c r="L12" s="20">
        <v>-1960</v>
      </c>
      <c r="M12" s="20">
        <v>-3020</v>
      </c>
      <c r="N12" s="20">
        <v>-2980</v>
      </c>
      <c r="O12" s="20">
        <v>-542</v>
      </c>
      <c r="P12" s="20">
        <v>-362</v>
      </c>
      <c r="Q12" s="20">
        <v>-355</v>
      </c>
      <c r="R12" s="20">
        <v>-1561</v>
      </c>
      <c r="S12" s="20">
        <v>-1064</v>
      </c>
      <c r="T12" s="20">
        <v>-138</v>
      </c>
      <c r="U12" s="20">
        <v>-1032</v>
      </c>
      <c r="V12" s="20">
        <v>-2475</v>
      </c>
      <c r="W12" s="218">
        <v>-1348</v>
      </c>
      <c r="X12" s="218">
        <v>-2249</v>
      </c>
      <c r="Y12" s="218"/>
    </row>
    <row r="13" spans="1:25" ht="12.75">
      <c r="A13" s="240" t="s">
        <v>36</v>
      </c>
      <c r="B13" s="240"/>
      <c r="C13" s="240"/>
      <c r="E13" s="42" t="s">
        <v>239</v>
      </c>
      <c r="F13" s="43">
        <v>7028</v>
      </c>
      <c r="G13" s="43">
        <v>7204</v>
      </c>
      <c r="H13" s="43">
        <v>7602</v>
      </c>
      <c r="I13" s="18">
        <v>6281</v>
      </c>
      <c r="J13" s="43">
        <v>7731</v>
      </c>
      <c r="K13" s="18">
        <v>7175</v>
      </c>
      <c r="L13" s="18">
        <v>4807</v>
      </c>
      <c r="M13" s="18">
        <v>3942</v>
      </c>
      <c r="N13" s="18">
        <v>1044</v>
      </c>
      <c r="O13" s="18">
        <v>4033</v>
      </c>
      <c r="P13" s="18">
        <v>4475</v>
      </c>
      <c r="Q13" s="18">
        <v>1188</v>
      </c>
      <c r="R13" s="18">
        <v>3761</v>
      </c>
      <c r="S13" s="18">
        <v>5430</v>
      </c>
      <c r="T13" s="18">
        <v>3017</v>
      </c>
      <c r="U13" s="18">
        <v>4000</v>
      </c>
      <c r="V13" s="18">
        <v>1580</v>
      </c>
      <c r="W13" s="18">
        <v>3581</v>
      </c>
      <c r="X13" s="18">
        <v>2741</v>
      </c>
      <c r="Y13" s="18">
        <v>6274</v>
      </c>
    </row>
    <row r="14" spans="1:25" ht="12.75">
      <c r="A14" s="240" t="s">
        <v>36</v>
      </c>
      <c r="B14" s="240"/>
      <c r="C14" s="240"/>
      <c r="E14" s="42" t="s">
        <v>240</v>
      </c>
      <c r="F14" s="43">
        <v>5850</v>
      </c>
      <c r="G14" s="43">
        <v>6142</v>
      </c>
      <c r="H14" s="43">
        <v>6530</v>
      </c>
      <c r="I14" s="18">
        <v>5215</v>
      </c>
      <c r="J14" s="43">
        <v>7545</v>
      </c>
      <c r="K14" s="18">
        <v>7006</v>
      </c>
      <c r="L14" s="18">
        <v>4452</v>
      </c>
      <c r="M14" s="18">
        <v>3215</v>
      </c>
      <c r="N14" s="18">
        <v>494</v>
      </c>
      <c r="O14" s="18">
        <v>3825</v>
      </c>
      <c r="P14" s="18">
        <v>4035</v>
      </c>
      <c r="Q14" s="18">
        <v>653</v>
      </c>
      <c r="R14" s="18">
        <v>3484</v>
      </c>
      <c r="S14" s="18">
        <v>5306</v>
      </c>
      <c r="T14" s="18">
        <v>2780</v>
      </c>
      <c r="U14" s="18">
        <v>3154</v>
      </c>
      <c r="V14" s="18">
        <v>904</v>
      </c>
      <c r="W14" s="18">
        <v>2997</v>
      </c>
      <c r="X14" s="18">
        <v>2101</v>
      </c>
      <c r="Y14" s="18">
        <v>5581</v>
      </c>
    </row>
    <row r="15" spans="1:25" ht="12.75">
      <c r="A15" s="240" t="s">
        <v>36</v>
      </c>
      <c r="B15" s="240"/>
      <c r="C15" s="240"/>
      <c r="E15" s="49" t="s">
        <v>21</v>
      </c>
      <c r="F15" s="48">
        <v>3975</v>
      </c>
      <c r="G15" s="48">
        <v>4175</v>
      </c>
      <c r="H15" s="48">
        <v>4457</v>
      </c>
      <c r="I15" s="22">
        <v>3870</v>
      </c>
      <c r="J15" s="48">
        <v>5095</v>
      </c>
      <c r="K15" s="22">
        <v>4778</v>
      </c>
      <c r="L15" s="22">
        <v>3259</v>
      </c>
      <c r="M15" s="22">
        <v>1763</v>
      </c>
      <c r="N15" s="22">
        <v>-142</v>
      </c>
      <c r="O15" s="22">
        <v>2648</v>
      </c>
      <c r="P15" s="22">
        <v>2925</v>
      </c>
      <c r="Q15" s="22">
        <v>366</v>
      </c>
      <c r="R15" s="22">
        <v>2607</v>
      </c>
      <c r="S15" s="22">
        <v>3997</v>
      </c>
      <c r="T15" s="22">
        <v>2064</v>
      </c>
      <c r="U15" s="22">
        <v>2365</v>
      </c>
      <c r="V15" s="22">
        <v>672</v>
      </c>
      <c r="W15" s="22">
        <v>2242</v>
      </c>
      <c r="X15" s="22">
        <v>1568</v>
      </c>
      <c r="Y15" s="22">
        <v>4493</v>
      </c>
    </row>
    <row r="16" spans="1:25" s="41" customFormat="1" ht="12.75">
      <c r="A16" s="245" t="s">
        <v>35</v>
      </c>
      <c r="B16" s="245"/>
      <c r="C16" s="245"/>
      <c r="E16" s="161" t="s">
        <v>241</v>
      </c>
      <c r="F16" s="47"/>
      <c r="G16" s="47"/>
      <c r="H16" s="47"/>
      <c r="I16" s="21"/>
      <c r="J16" s="47"/>
      <c r="K16" s="21"/>
      <c r="L16" s="21"/>
      <c r="M16" s="21"/>
      <c r="N16" s="21"/>
      <c r="O16" s="21"/>
      <c r="P16" s="21"/>
      <c r="Q16" s="21"/>
      <c r="R16" s="21"/>
      <c r="S16" s="21"/>
      <c r="T16" s="21"/>
      <c r="U16" s="21"/>
      <c r="V16" s="21"/>
      <c r="W16" s="21"/>
      <c r="X16" s="21"/>
      <c r="Y16" s="21"/>
    </row>
    <row r="17" spans="1:25" ht="15">
      <c r="A17" s="240" t="s">
        <v>36</v>
      </c>
      <c r="B17" s="240"/>
      <c r="C17" s="240"/>
      <c r="E17" s="49" t="s">
        <v>613</v>
      </c>
      <c r="F17" s="48">
        <f>7028-964+4125</f>
        <v>10189</v>
      </c>
      <c r="G17" s="48">
        <f>7204+216+3905</f>
        <v>11325</v>
      </c>
      <c r="H17" s="48">
        <f>7602+448+3810</f>
        <v>11860</v>
      </c>
      <c r="I17" s="22">
        <v>10699</v>
      </c>
      <c r="J17" s="43">
        <v>12019</v>
      </c>
      <c r="K17" s="18">
        <v>10991</v>
      </c>
      <c r="L17" s="18">
        <v>9805</v>
      </c>
      <c r="M17" s="18">
        <v>10372</v>
      </c>
      <c r="N17" s="18">
        <f>494+2583+550+2980</f>
        <v>6607</v>
      </c>
      <c r="O17" s="18">
        <v>7333</v>
      </c>
      <c r="P17" s="18">
        <v>7575</v>
      </c>
      <c r="Q17" s="18">
        <v>4553</v>
      </c>
      <c r="R17" s="18">
        <v>8764</v>
      </c>
      <c r="S17" s="18">
        <v>9822</v>
      </c>
      <c r="T17" s="18">
        <v>6328</v>
      </c>
      <c r="U17" s="18">
        <v>8283</v>
      </c>
      <c r="V17" s="18">
        <v>7411</v>
      </c>
      <c r="W17" s="18">
        <v>8451</v>
      </c>
      <c r="X17" s="18">
        <v>6677</v>
      </c>
      <c r="Y17" s="18">
        <v>10208</v>
      </c>
    </row>
    <row r="18" spans="1:25" ht="12.75">
      <c r="A18" s="240" t="s">
        <v>36</v>
      </c>
      <c r="B18" s="240"/>
      <c r="C18" s="240"/>
      <c r="E18" s="49" t="s">
        <v>242</v>
      </c>
      <c r="F18" s="48">
        <f>7889-2135</f>
        <v>5754</v>
      </c>
      <c r="G18" s="48">
        <f>9761-2166</f>
        <v>7595</v>
      </c>
      <c r="H18" s="48">
        <f>10968-2329</f>
        <v>8639</v>
      </c>
      <c r="I18" s="22">
        <v>5848</v>
      </c>
      <c r="J18" s="43">
        <v>9051</v>
      </c>
      <c r="K18" s="18">
        <v>7150</v>
      </c>
      <c r="L18" s="18">
        <v>7140</v>
      </c>
      <c r="M18" s="18">
        <v>8428</v>
      </c>
      <c r="N18" s="18">
        <v>5266</v>
      </c>
      <c r="O18" s="18">
        <v>5263</v>
      </c>
      <c r="P18" s="18">
        <v>5308</v>
      </c>
      <c r="Q18" s="18">
        <v>3446</v>
      </c>
      <c r="R18" s="18">
        <v>6378</v>
      </c>
      <c r="S18" s="18">
        <v>7741</v>
      </c>
      <c r="T18" s="18">
        <v>4283</v>
      </c>
      <c r="U18" s="18">
        <v>5552</v>
      </c>
      <c r="V18" s="18">
        <v>5130</v>
      </c>
      <c r="W18" s="18">
        <v>6045</v>
      </c>
      <c r="X18" s="18">
        <v>4704</v>
      </c>
      <c r="Y18" s="18">
        <v>8837</v>
      </c>
    </row>
    <row r="19" spans="1:25" ht="12.75">
      <c r="A19" s="240" t="s">
        <v>36</v>
      </c>
      <c r="B19" s="240"/>
      <c r="C19" s="240"/>
      <c r="E19" s="49" t="s">
        <v>243</v>
      </c>
      <c r="F19" s="48">
        <f>-715-336-134+129</f>
        <v>-1056</v>
      </c>
      <c r="G19" s="48">
        <f>264-1407-387+2595</f>
        <v>1065</v>
      </c>
      <c r="H19" s="48">
        <f>-17-884-3002+1363</f>
        <v>-2540</v>
      </c>
      <c r="I19" s="22">
        <v>3634</v>
      </c>
      <c r="J19" s="43">
        <v>1854</v>
      </c>
      <c r="K19" s="18">
        <v>-857</v>
      </c>
      <c r="L19" s="18">
        <v>1442</v>
      </c>
      <c r="M19" s="18">
        <v>-1888</v>
      </c>
      <c r="N19" s="18">
        <v>-1804</v>
      </c>
      <c r="O19" s="18">
        <v>-703</v>
      </c>
      <c r="P19" s="18">
        <v>-152</v>
      </c>
      <c r="Q19" s="18">
        <v>1503</v>
      </c>
      <c r="R19" s="18">
        <v>1919</v>
      </c>
      <c r="S19" s="18">
        <v>-61</v>
      </c>
      <c r="T19" s="18">
        <v>1116</v>
      </c>
      <c r="U19" s="18">
        <v>1528</v>
      </c>
      <c r="V19" s="18">
        <v>-675</v>
      </c>
      <c r="W19" s="18">
        <v>1777</v>
      </c>
      <c r="X19" s="18">
        <v>3563</v>
      </c>
      <c r="Y19" s="18">
        <v>1328</v>
      </c>
    </row>
    <row r="20" spans="1:25" ht="12.75">
      <c r="A20" s="240" t="s">
        <v>36</v>
      </c>
      <c r="B20" s="240"/>
      <c r="C20" s="240"/>
      <c r="E20" s="49" t="s">
        <v>88</v>
      </c>
      <c r="F20" s="48">
        <f>+F19+F18</f>
        <v>4698</v>
      </c>
      <c r="G20" s="48">
        <f>+G19+G18</f>
        <v>8660</v>
      </c>
      <c r="H20" s="48">
        <f>+H19+H18</f>
        <v>6099</v>
      </c>
      <c r="I20" s="22">
        <v>9482</v>
      </c>
      <c r="J20" s="43">
        <v>10905</v>
      </c>
      <c r="K20" s="18">
        <v>6293</v>
      </c>
      <c r="L20" s="18">
        <v>8582</v>
      </c>
      <c r="M20" s="18">
        <v>6540</v>
      </c>
      <c r="N20" s="18">
        <v>3462</v>
      </c>
      <c r="O20" s="18">
        <v>4560</v>
      </c>
      <c r="P20" s="18">
        <v>5156</v>
      </c>
      <c r="Q20" s="18">
        <v>4949</v>
      </c>
      <c r="R20" s="18">
        <v>8297</v>
      </c>
      <c r="S20" s="18">
        <v>7680</v>
      </c>
      <c r="T20" s="18">
        <v>5399</v>
      </c>
      <c r="U20" s="18">
        <v>7080</v>
      </c>
      <c r="V20" s="18">
        <v>4455</v>
      </c>
      <c r="W20" s="18">
        <v>7822</v>
      </c>
      <c r="X20" s="18">
        <v>8267</v>
      </c>
      <c r="Y20" s="18">
        <v>10165</v>
      </c>
    </row>
    <row r="21" spans="1:25" ht="12.75">
      <c r="A21" s="240" t="s">
        <v>36</v>
      </c>
      <c r="B21" s="240"/>
      <c r="C21" s="240"/>
      <c r="E21" s="49" t="s">
        <v>94</v>
      </c>
      <c r="F21" s="48">
        <v>-776</v>
      </c>
      <c r="G21" s="48">
        <v>-3137</v>
      </c>
      <c r="H21" s="48">
        <v>-3367</v>
      </c>
      <c r="I21" s="22">
        <v>1213</v>
      </c>
      <c r="J21" s="43">
        <v>-1011</v>
      </c>
      <c r="K21" s="18">
        <v>-2570</v>
      </c>
      <c r="L21" s="18">
        <v>-5358</v>
      </c>
      <c r="M21" s="18">
        <v>-5827</v>
      </c>
      <c r="N21" s="18">
        <v>-4485</v>
      </c>
      <c r="O21" s="18">
        <v>-2386</v>
      </c>
      <c r="P21" s="18">
        <v>-3879</v>
      </c>
      <c r="Q21" s="18">
        <v>-3755</v>
      </c>
      <c r="R21" s="18">
        <v>-2967</v>
      </c>
      <c r="S21" s="18">
        <v>-4474</v>
      </c>
      <c r="T21" s="18">
        <v>-10049</v>
      </c>
      <c r="U21" s="18">
        <v>-4702</v>
      </c>
      <c r="V21" s="18">
        <v>-4734</v>
      </c>
      <c r="W21" s="18">
        <v>-3759</v>
      </c>
      <c r="X21" s="18">
        <v>-3403</v>
      </c>
      <c r="Y21" s="18">
        <v>-2557</v>
      </c>
    </row>
    <row r="22" spans="1:25" ht="12.75">
      <c r="A22" s="240" t="s">
        <v>36</v>
      </c>
      <c r="B22" s="240"/>
      <c r="C22" s="240"/>
      <c r="E22" s="49" t="s">
        <v>244</v>
      </c>
      <c r="F22" s="48">
        <v>-3756</v>
      </c>
      <c r="G22" s="48">
        <v>-4439</v>
      </c>
      <c r="H22" s="48">
        <v>-4423</v>
      </c>
      <c r="I22" s="22">
        <v>-4195</v>
      </c>
      <c r="J22" s="43">
        <v>-3335</v>
      </c>
      <c r="K22" s="18">
        <v>-3463</v>
      </c>
      <c r="L22" s="18">
        <v>-4515</v>
      </c>
      <c r="M22" s="18">
        <v>-4765</v>
      </c>
      <c r="N22" s="18">
        <v>-3654</v>
      </c>
      <c r="O22" s="18">
        <v>-3152</v>
      </c>
      <c r="P22" s="18">
        <v>-3430</v>
      </c>
      <c r="Q22" s="18">
        <v>-3158</v>
      </c>
      <c r="R22" s="18">
        <v>-2223</v>
      </c>
      <c r="S22" s="18">
        <v>-3221</v>
      </c>
      <c r="T22" s="18">
        <v>-3163</v>
      </c>
      <c r="U22" s="18">
        <v>-4090</v>
      </c>
      <c r="V22" s="18">
        <v>-3535</v>
      </c>
      <c r="W22" s="18">
        <v>-3006</v>
      </c>
      <c r="X22" s="18">
        <v>-3027</v>
      </c>
      <c r="Y22" s="18">
        <v>-2830</v>
      </c>
    </row>
    <row r="23" spans="1:25" ht="12.75">
      <c r="A23" s="240" t="s">
        <v>36</v>
      </c>
      <c r="B23" s="240"/>
      <c r="C23" s="240"/>
      <c r="E23" s="49" t="s">
        <v>95</v>
      </c>
      <c r="F23" s="48">
        <f>+F21+F20</f>
        <v>3922</v>
      </c>
      <c r="G23" s="48">
        <f>+G21+G20</f>
        <v>5523</v>
      </c>
      <c r="H23" s="48">
        <f>+H21+H20</f>
        <v>2732</v>
      </c>
      <c r="I23" s="22">
        <v>10695</v>
      </c>
      <c r="J23" s="43">
        <v>9894</v>
      </c>
      <c r="K23" s="18">
        <v>3723</v>
      </c>
      <c r="L23" s="18">
        <v>3224</v>
      </c>
      <c r="M23" s="18">
        <v>713</v>
      </c>
      <c r="N23" s="18">
        <v>-1023</v>
      </c>
      <c r="O23" s="18">
        <v>2174</v>
      </c>
      <c r="P23" s="18">
        <v>1277</v>
      </c>
      <c r="Q23" s="18">
        <v>1194</v>
      </c>
      <c r="R23" s="18">
        <v>5330</v>
      </c>
      <c r="S23" s="18">
        <v>3206</v>
      </c>
      <c r="T23" s="18">
        <v>-4650</v>
      </c>
      <c r="U23" s="18">
        <v>2378</v>
      </c>
      <c r="V23" s="18">
        <v>-279</v>
      </c>
      <c r="W23" s="18">
        <v>4063</v>
      </c>
      <c r="X23" s="18">
        <v>4864</v>
      </c>
      <c r="Y23" s="18">
        <v>7608</v>
      </c>
    </row>
    <row r="24" spans="1:25" ht="12.75">
      <c r="A24" s="240" t="s">
        <v>36</v>
      </c>
      <c r="B24" s="240"/>
      <c r="C24" s="240"/>
      <c r="E24" s="49" t="s">
        <v>245</v>
      </c>
      <c r="F24" s="48">
        <v>-915</v>
      </c>
      <c r="G24" s="48">
        <v>-1099</v>
      </c>
      <c r="H24" s="48">
        <f>-1282-3193</f>
        <v>-4475</v>
      </c>
      <c r="I24" s="22">
        <v>-3117</v>
      </c>
      <c r="J24" s="48">
        <f>-1483-1703</f>
        <v>-3186</v>
      </c>
      <c r="K24" s="22">
        <v>-3563</v>
      </c>
      <c r="L24" s="22">
        <v>-5147</v>
      </c>
      <c r="M24" s="22">
        <v>-2038</v>
      </c>
      <c r="N24" s="22">
        <v>-2038</v>
      </c>
      <c r="O24" s="22">
        <f>-2222-2194</f>
        <v>-4416</v>
      </c>
      <c r="P24" s="22">
        <f>-1126-5582</f>
        <v>-6708</v>
      </c>
      <c r="Q24" s="22">
        <v>-1187</v>
      </c>
      <c r="R24" s="22">
        <v>69</v>
      </c>
      <c r="S24" s="22">
        <v>-1120</v>
      </c>
      <c r="T24" s="22">
        <v>-1850</v>
      </c>
      <c r="U24" s="22">
        <v>-1868</v>
      </c>
      <c r="V24" s="22">
        <v>-1860</v>
      </c>
      <c r="W24" s="22">
        <v>-1861</v>
      </c>
      <c r="X24" s="22">
        <v>-1870</v>
      </c>
      <c r="Y24" s="22">
        <v>-1868</v>
      </c>
    </row>
    <row r="25" spans="1:25" s="41" customFormat="1" ht="12.75">
      <c r="A25" s="245" t="s">
        <v>36</v>
      </c>
      <c r="B25" s="245"/>
      <c r="C25" s="245" t="s">
        <v>530</v>
      </c>
      <c r="E25" s="46" t="s">
        <v>246</v>
      </c>
      <c r="F25" s="23">
        <f>+F22/F9*100*-1</f>
        <v>3.195942956332323</v>
      </c>
      <c r="G25" s="23">
        <f>+G22/G9*100*-1</f>
        <v>3.713090757005437</v>
      </c>
      <c r="H25" s="23">
        <f>+H22/H9*100*-1</f>
        <v>3.552810198163752</v>
      </c>
      <c r="I25" s="23">
        <f>+I22/I9*100*-1</f>
        <v>3.089033379233154</v>
      </c>
      <c r="J25" s="50">
        <v>2.5</v>
      </c>
      <c r="K25" s="23">
        <v>2.8</v>
      </c>
      <c r="L25" s="23">
        <v>3.7</v>
      </c>
      <c r="M25" s="23">
        <v>3.7</v>
      </c>
      <c r="N25" s="23">
        <f>-(N22/N9)*100</f>
        <v>3.6285637679864156</v>
      </c>
      <c r="O25" s="23">
        <f>-(O22/O9)*100</f>
        <v>3.0352053000539247</v>
      </c>
      <c r="P25" s="23">
        <f>-P22/P9*100</f>
        <v>3.275025780086316</v>
      </c>
      <c r="Q25" s="23">
        <v>3.0135888235743185</v>
      </c>
      <c r="R25" s="23">
        <v>2.036982736502584</v>
      </c>
      <c r="S25" s="23">
        <v>3.0293625265692308</v>
      </c>
      <c r="T25" s="23">
        <v>3.113250260831906</v>
      </c>
      <c r="U25" s="23">
        <v>3.718384639162136</v>
      </c>
      <c r="V25" s="23">
        <v>3.2386327198101714</v>
      </c>
      <c r="W25" s="23">
        <v>2.680506139482625</v>
      </c>
      <c r="X25" s="23">
        <v>2.450793856417647</v>
      </c>
      <c r="Y25" s="23">
        <v>2.3370467326765376</v>
      </c>
    </row>
    <row r="26" spans="1:25" ht="15">
      <c r="A26" s="240" t="s">
        <v>35</v>
      </c>
      <c r="B26" s="240"/>
      <c r="C26" s="240"/>
      <c r="E26" s="39" t="s">
        <v>506</v>
      </c>
      <c r="F26" s="48"/>
      <c r="G26" s="48"/>
      <c r="H26" s="48"/>
      <c r="I26" s="22"/>
      <c r="J26" s="43"/>
      <c r="K26" s="18"/>
      <c r="L26" s="18"/>
      <c r="M26" s="18"/>
      <c r="N26" s="18"/>
      <c r="O26" s="18"/>
      <c r="P26" s="18"/>
      <c r="Q26" s="18"/>
      <c r="R26" s="18"/>
      <c r="S26" s="18"/>
      <c r="T26" s="18"/>
      <c r="U26" s="18"/>
      <c r="V26" s="18"/>
      <c r="W26" s="18"/>
      <c r="X26" s="18"/>
      <c r="Y26" s="18"/>
    </row>
    <row r="27" spans="1:25" ht="12.75">
      <c r="A27" s="240" t="s">
        <v>36</v>
      </c>
      <c r="B27" s="240"/>
      <c r="C27" s="240" t="s">
        <v>530</v>
      </c>
      <c r="E27" s="42" t="s">
        <v>607</v>
      </c>
      <c r="F27" s="51">
        <v>5.2</v>
      </c>
      <c r="G27" s="51">
        <v>6.2</v>
      </c>
      <c r="H27" s="51">
        <v>6.5</v>
      </c>
      <c r="I27" s="24">
        <v>4.7</v>
      </c>
      <c r="J27" s="51">
        <v>6.1</v>
      </c>
      <c r="K27" s="24">
        <v>6.2</v>
      </c>
      <c r="L27" s="24">
        <v>5.6</v>
      </c>
      <c r="M27" s="24">
        <v>5.4</v>
      </c>
      <c r="N27" s="24">
        <v>4</v>
      </c>
      <c r="O27" s="24">
        <v>4.4</v>
      </c>
      <c r="P27" s="24">
        <v>4.6</v>
      </c>
      <c r="Q27" s="24">
        <v>1.4724406443239941</v>
      </c>
      <c r="R27" s="24">
        <v>4.876663123556794</v>
      </c>
      <c r="S27" s="24">
        <v>6.107631247296052</v>
      </c>
      <c r="T27" s="24">
        <v>3.1053760900805134</v>
      </c>
      <c r="U27" s="24">
        <v>4.574794988817572</v>
      </c>
      <c r="V27" s="24">
        <v>3.715036967137268</v>
      </c>
      <c r="W27" s="51">
        <v>3.2</v>
      </c>
      <c r="X27" s="51">
        <v>2.2192355336771623</v>
      </c>
      <c r="Y27" s="51">
        <v>5.18114176707159</v>
      </c>
    </row>
    <row r="28" spans="1:25" s="53" customFormat="1" ht="12.75">
      <c r="A28" s="240" t="s">
        <v>36</v>
      </c>
      <c r="B28" s="240"/>
      <c r="C28" s="240" t="s">
        <v>530</v>
      </c>
      <c r="D28" s="40"/>
      <c r="E28" s="49" t="s">
        <v>247</v>
      </c>
      <c r="F28" s="52">
        <v>4.2</v>
      </c>
      <c r="G28" s="52">
        <v>5.3</v>
      </c>
      <c r="H28" s="52">
        <v>5.6</v>
      </c>
      <c r="I28" s="25">
        <v>3.9</v>
      </c>
      <c r="J28" s="52">
        <v>6</v>
      </c>
      <c r="K28" s="25">
        <v>6</v>
      </c>
      <c r="L28" s="25">
        <v>5.3</v>
      </c>
      <c r="M28" s="25">
        <v>4.8</v>
      </c>
      <c r="N28" s="25">
        <v>3.4</v>
      </c>
      <c r="O28" s="25">
        <v>4.2</v>
      </c>
      <c r="P28" s="25">
        <v>4.2</v>
      </c>
      <c r="Q28" s="25">
        <v>0.9619054889686236</v>
      </c>
      <c r="R28" s="25">
        <v>4.622842062823004</v>
      </c>
      <c r="S28" s="25">
        <v>5.991008784304873</v>
      </c>
      <c r="T28" s="25">
        <v>2.872103781570503</v>
      </c>
      <c r="U28" s="25">
        <v>3.8</v>
      </c>
      <c r="V28" s="25">
        <v>3.095711445612042</v>
      </c>
      <c r="W28" s="52">
        <v>2.7</v>
      </c>
      <c r="X28" s="52">
        <v>1.701063063208945</v>
      </c>
      <c r="Y28" s="52">
        <v>4.608854351614049</v>
      </c>
    </row>
    <row r="29" spans="1:25" s="41" customFormat="1" ht="12.75">
      <c r="A29" s="245" t="s">
        <v>36</v>
      </c>
      <c r="B29" s="245"/>
      <c r="C29" s="245" t="s">
        <v>530</v>
      </c>
      <c r="E29" s="38" t="s">
        <v>556</v>
      </c>
      <c r="F29" s="50">
        <v>8.7</v>
      </c>
      <c r="G29" s="50">
        <v>9.5</v>
      </c>
      <c r="H29" s="50">
        <v>9.5</v>
      </c>
      <c r="I29" s="23">
        <v>7.9</v>
      </c>
      <c r="J29" s="50">
        <v>9</v>
      </c>
      <c r="K29" s="23">
        <v>8.9</v>
      </c>
      <c r="L29" s="23">
        <v>8.1</v>
      </c>
      <c r="M29" s="23">
        <v>8</v>
      </c>
      <c r="N29" s="23">
        <v>6.6</v>
      </c>
      <c r="O29" s="23">
        <v>7.1</v>
      </c>
      <c r="P29" s="23">
        <v>7.2</v>
      </c>
      <c r="Q29" s="23">
        <v>4.344797312771967</v>
      </c>
      <c r="R29" s="23">
        <v>8.030641791591833</v>
      </c>
      <c r="S29" s="23">
        <v>9.237627673381864</v>
      </c>
      <c r="T29" s="23">
        <v>6.2284690643516605</v>
      </c>
      <c r="U29" s="23">
        <v>7.530410749677255</v>
      </c>
      <c r="V29" s="23">
        <v>6.789676686425228</v>
      </c>
      <c r="W29" s="50">
        <v>6.5</v>
      </c>
      <c r="X29" s="50">
        <v>5.4059962270567</v>
      </c>
      <c r="Y29" s="50">
        <v>8.429884468961871</v>
      </c>
    </row>
    <row r="30" spans="1:25" ht="12.75">
      <c r="A30" s="240" t="s">
        <v>35</v>
      </c>
      <c r="B30" s="240"/>
      <c r="C30" s="240"/>
      <c r="E30" s="35" t="s">
        <v>248</v>
      </c>
      <c r="F30" s="43"/>
      <c r="G30" s="43"/>
      <c r="H30" s="43"/>
      <c r="I30" s="18"/>
      <c r="J30" s="43"/>
      <c r="K30" s="18"/>
      <c r="L30" s="18"/>
      <c r="M30" s="18"/>
      <c r="N30" s="18"/>
      <c r="O30" s="18"/>
      <c r="P30" s="18"/>
      <c r="Q30" s="18"/>
      <c r="R30" s="18"/>
      <c r="S30" s="18"/>
      <c r="T30" s="18"/>
      <c r="U30" s="18"/>
      <c r="V30" s="18"/>
      <c r="W30" s="18"/>
      <c r="X30" s="18"/>
      <c r="Y30" s="18"/>
    </row>
    <row r="31" spans="1:25" ht="12.75">
      <c r="A31" s="240" t="s">
        <v>36</v>
      </c>
      <c r="B31" s="240"/>
      <c r="C31" s="240"/>
      <c r="E31" s="42" t="s">
        <v>57</v>
      </c>
      <c r="F31" s="43">
        <v>83289</v>
      </c>
      <c r="G31" s="43">
        <v>81644</v>
      </c>
      <c r="H31" s="43">
        <v>87289</v>
      </c>
      <c r="I31" s="18">
        <v>94447</v>
      </c>
      <c r="J31" s="43">
        <v>85424</v>
      </c>
      <c r="K31" s="18">
        <v>77028</v>
      </c>
      <c r="L31" s="18">
        <v>75096</v>
      </c>
      <c r="M31" s="18">
        <v>82558</v>
      </c>
      <c r="N31" s="18"/>
      <c r="O31" s="18">
        <v>66049</v>
      </c>
      <c r="P31" s="18">
        <v>66089</v>
      </c>
      <c r="Q31" s="18">
        <v>73323</v>
      </c>
      <c r="R31" s="18">
        <v>72696</v>
      </c>
      <c r="S31" s="18">
        <v>73521</v>
      </c>
      <c r="T31" s="18">
        <v>76384</v>
      </c>
      <c r="U31" s="18">
        <v>75194</v>
      </c>
      <c r="V31" s="18">
        <v>76001</v>
      </c>
      <c r="W31" s="18">
        <v>85688</v>
      </c>
      <c r="X31" s="18">
        <v>83471</v>
      </c>
      <c r="Y31" s="18">
        <v>85848</v>
      </c>
    </row>
    <row r="32" spans="1:25" ht="12.75">
      <c r="A32" s="240" t="s">
        <v>36</v>
      </c>
      <c r="B32" s="240"/>
      <c r="C32" s="240"/>
      <c r="E32" s="42" t="s">
        <v>249</v>
      </c>
      <c r="F32" s="43">
        <v>39986</v>
      </c>
      <c r="G32" s="43">
        <v>36121</v>
      </c>
      <c r="H32" s="43">
        <v>39026</v>
      </c>
      <c r="I32" s="18">
        <v>37162</v>
      </c>
      <c r="J32" s="43">
        <v>27916</v>
      </c>
      <c r="K32" s="18">
        <v>26422</v>
      </c>
      <c r="L32" s="18">
        <v>23988</v>
      </c>
      <c r="M32" s="18">
        <v>28165</v>
      </c>
      <c r="N32" s="18">
        <v>17942</v>
      </c>
      <c r="O32" s="18">
        <v>18140</v>
      </c>
      <c r="P32" s="18">
        <v>20743</v>
      </c>
      <c r="Q32" s="18">
        <v>20941</v>
      </c>
      <c r="R32" s="18">
        <v>19506</v>
      </c>
      <c r="S32" s="18">
        <v>19904</v>
      </c>
      <c r="T32" s="18">
        <v>27011</v>
      </c>
      <c r="U32" s="18">
        <v>25890</v>
      </c>
      <c r="V32" s="18">
        <v>24961</v>
      </c>
      <c r="W32" s="18">
        <v>26099</v>
      </c>
      <c r="X32" s="18">
        <v>21412</v>
      </c>
      <c r="Y32" s="18">
        <v>18098</v>
      </c>
    </row>
    <row r="33" spans="1:25" ht="12.75">
      <c r="A33" s="240" t="s">
        <v>36</v>
      </c>
      <c r="B33" s="240"/>
      <c r="C33" s="240"/>
      <c r="E33" s="42" t="s">
        <v>250</v>
      </c>
      <c r="F33" s="43">
        <v>12101</v>
      </c>
      <c r="G33" s="43">
        <v>8070</v>
      </c>
      <c r="H33" s="43">
        <v>9368</v>
      </c>
      <c r="I33" s="18">
        <v>6659</v>
      </c>
      <c r="J33" s="43">
        <v>2216</v>
      </c>
      <c r="K33" s="18">
        <v>4068</v>
      </c>
      <c r="L33" s="18">
        <v>-383</v>
      </c>
      <c r="M33" s="18">
        <v>-31</v>
      </c>
      <c r="N33" s="18">
        <v>-3799</v>
      </c>
      <c r="O33" s="18">
        <v>-2613</v>
      </c>
      <c r="P33" s="18">
        <v>-2129</v>
      </c>
      <c r="Q33" s="18">
        <v>-5131</v>
      </c>
      <c r="R33" s="18">
        <v>-5154</v>
      </c>
      <c r="S33" s="18">
        <v>-5902</v>
      </c>
      <c r="T33" s="18">
        <v>-5180</v>
      </c>
      <c r="U33" s="18">
        <v>-6505</v>
      </c>
      <c r="V33" s="18">
        <v>-5800</v>
      </c>
      <c r="W33" s="18">
        <v>-8377</v>
      </c>
      <c r="X33" s="18">
        <v>-12234</v>
      </c>
      <c r="Y33" s="18">
        <v>-14966</v>
      </c>
    </row>
    <row r="34" spans="1:25" ht="12.75">
      <c r="A34" s="240" t="s">
        <v>36</v>
      </c>
      <c r="B34" s="240"/>
      <c r="C34" s="240"/>
      <c r="E34" s="42" t="s">
        <v>50</v>
      </c>
      <c r="F34" s="43">
        <v>21859</v>
      </c>
      <c r="G34" s="43">
        <v>21513</v>
      </c>
      <c r="H34" s="43">
        <v>23214</v>
      </c>
      <c r="I34" s="18">
        <v>24189</v>
      </c>
      <c r="J34" s="43">
        <v>22484</v>
      </c>
      <c r="K34" s="18">
        <v>21172</v>
      </c>
      <c r="L34" s="18">
        <v>20627</v>
      </c>
      <c r="M34" s="18">
        <v>24269</v>
      </c>
      <c r="N34" s="18">
        <v>20944</v>
      </c>
      <c r="O34" s="18">
        <v>20905</v>
      </c>
      <c r="P34" s="18">
        <v>20379</v>
      </c>
      <c r="Q34" s="18">
        <v>20734</v>
      </c>
      <c r="R34" s="18">
        <v>20173</v>
      </c>
      <c r="S34" s="18">
        <v>19346</v>
      </c>
      <c r="T34" s="18">
        <v>19226</v>
      </c>
      <c r="U34" s="18">
        <v>18288</v>
      </c>
      <c r="V34" s="18">
        <v>19441</v>
      </c>
      <c r="W34" s="18">
        <v>20663</v>
      </c>
      <c r="X34" s="18">
        <v>17745</v>
      </c>
      <c r="Y34" s="18">
        <v>19408</v>
      </c>
    </row>
    <row r="35" spans="1:25" ht="12.75">
      <c r="A35" s="240" t="s">
        <v>36</v>
      </c>
      <c r="B35" s="240"/>
      <c r="C35" s="240"/>
      <c r="E35" s="42" t="s">
        <v>49</v>
      </c>
      <c r="F35" s="43">
        <v>17325</v>
      </c>
      <c r="G35" s="43">
        <v>16549</v>
      </c>
      <c r="H35" s="43">
        <v>16880</v>
      </c>
      <c r="I35" s="18">
        <v>17001</v>
      </c>
      <c r="J35" s="43">
        <v>15614</v>
      </c>
      <c r="K35" s="18">
        <v>14945</v>
      </c>
      <c r="L35" s="18">
        <v>15742</v>
      </c>
      <c r="M35" s="18">
        <v>18606</v>
      </c>
      <c r="N35" s="18">
        <v>12342</v>
      </c>
      <c r="O35" s="18">
        <v>12041</v>
      </c>
      <c r="P35" s="18">
        <v>12398</v>
      </c>
      <c r="Q35" s="18">
        <v>12680</v>
      </c>
      <c r="R35" s="18">
        <v>10050</v>
      </c>
      <c r="S35" s="18">
        <v>11130</v>
      </c>
      <c r="T35" s="18">
        <v>11957</v>
      </c>
      <c r="U35" s="18">
        <v>12963</v>
      </c>
      <c r="V35" s="18">
        <v>12154</v>
      </c>
      <c r="W35" s="18">
        <v>14324</v>
      </c>
      <c r="X35" s="18">
        <v>14179</v>
      </c>
      <c r="Y35" s="18">
        <v>13418</v>
      </c>
    </row>
    <row r="36" spans="1:25" ht="12.75">
      <c r="A36" s="240" t="s">
        <v>36</v>
      </c>
      <c r="B36" s="240"/>
      <c r="C36" s="240"/>
      <c r="E36" s="42" t="s">
        <v>70</v>
      </c>
      <c r="F36" s="43">
        <v>10476</v>
      </c>
      <c r="G36" s="43">
        <v>11132</v>
      </c>
      <c r="H36" s="43">
        <v>12975</v>
      </c>
      <c r="I36" s="18">
        <v>17304</v>
      </c>
      <c r="J36" s="43">
        <v>16223</v>
      </c>
      <c r="K36" s="18">
        <v>14857</v>
      </c>
      <c r="L36" s="18">
        <v>16550</v>
      </c>
      <c r="M36" s="18">
        <v>18798</v>
      </c>
      <c r="N36" s="18">
        <v>14576</v>
      </c>
      <c r="O36" s="18">
        <v>15320</v>
      </c>
      <c r="P36" s="18">
        <v>14788</v>
      </c>
      <c r="Q36" s="18">
        <v>15681</v>
      </c>
      <c r="R36" s="18">
        <v>16031</v>
      </c>
      <c r="S36" s="18">
        <v>17283</v>
      </c>
      <c r="T36" s="18">
        <v>18490</v>
      </c>
      <c r="U36" s="18">
        <v>20590</v>
      </c>
      <c r="V36" s="18">
        <v>20607</v>
      </c>
      <c r="W36" s="18">
        <v>25705</v>
      </c>
      <c r="X36" s="18">
        <v>26467</v>
      </c>
      <c r="Y36" s="18">
        <v>28283</v>
      </c>
    </row>
    <row r="37" spans="1:25" ht="12.75">
      <c r="A37" s="240" t="s">
        <v>36</v>
      </c>
      <c r="B37" s="240"/>
      <c r="C37" s="240"/>
      <c r="E37" s="42" t="s">
        <v>137</v>
      </c>
      <c r="F37" s="43">
        <v>24480</v>
      </c>
      <c r="G37" s="43">
        <v>25781</v>
      </c>
      <c r="H37" s="43">
        <v>26324</v>
      </c>
      <c r="I37" s="18">
        <v>28864</v>
      </c>
      <c r="J37" s="43">
        <v>27629</v>
      </c>
      <c r="K37" s="18">
        <v>27462</v>
      </c>
      <c r="L37" s="18">
        <v>23636</v>
      </c>
      <c r="M37" s="18">
        <v>25888</v>
      </c>
      <c r="N37" s="18"/>
      <c r="O37" s="18">
        <v>13194</v>
      </c>
      <c r="P37" s="18">
        <v>16040</v>
      </c>
      <c r="Q37" s="18">
        <v>16385</v>
      </c>
      <c r="R37" s="18">
        <v>18841</v>
      </c>
      <c r="S37" s="18">
        <v>20613</v>
      </c>
      <c r="T37" s="18">
        <v>20644</v>
      </c>
      <c r="U37" s="18">
        <v>15726</v>
      </c>
      <c r="V37" s="18">
        <v>14308</v>
      </c>
      <c r="W37" s="18">
        <v>16468</v>
      </c>
      <c r="X37" s="18">
        <v>15005</v>
      </c>
      <c r="Y37" s="18">
        <v>17738</v>
      </c>
    </row>
    <row r="38" spans="1:25" ht="12.75">
      <c r="A38" s="240" t="s">
        <v>36</v>
      </c>
      <c r="B38" s="240"/>
      <c r="C38" s="240"/>
      <c r="E38" s="49" t="s">
        <v>136</v>
      </c>
      <c r="F38" s="48">
        <v>29353</v>
      </c>
      <c r="G38" s="48">
        <v>23735</v>
      </c>
      <c r="H38" s="48">
        <v>25398</v>
      </c>
      <c r="I38" s="22">
        <v>23183</v>
      </c>
      <c r="J38" s="48">
        <v>15698</v>
      </c>
      <c r="K38" s="22">
        <v>12501</v>
      </c>
      <c r="L38" s="22">
        <v>9843</v>
      </c>
      <c r="M38" s="22">
        <v>8914</v>
      </c>
      <c r="N38" s="22"/>
      <c r="O38" s="22">
        <v>7495</v>
      </c>
      <c r="P38" s="22">
        <v>11163</v>
      </c>
      <c r="Q38" s="22">
        <v>13946</v>
      </c>
      <c r="R38" s="22">
        <v>14022</v>
      </c>
      <c r="S38" s="22">
        <v>12096</v>
      </c>
      <c r="T38" s="22">
        <v>14206</v>
      </c>
      <c r="U38" s="22">
        <v>13088</v>
      </c>
      <c r="V38" s="22">
        <v>14905</v>
      </c>
      <c r="W38" s="22">
        <v>14703</v>
      </c>
      <c r="X38" s="22">
        <v>13097</v>
      </c>
      <c r="Y38" s="22">
        <v>10202</v>
      </c>
    </row>
    <row r="39" spans="1:25" ht="12.75">
      <c r="A39" s="240" t="s">
        <v>36</v>
      </c>
      <c r="B39" s="240"/>
      <c r="C39" s="240"/>
      <c r="E39" s="49" t="s">
        <v>480</v>
      </c>
      <c r="F39" s="48"/>
      <c r="G39" s="48"/>
      <c r="H39" s="48"/>
      <c r="I39" s="22"/>
      <c r="J39" s="48"/>
      <c r="K39" s="22"/>
      <c r="L39" s="22"/>
      <c r="M39" s="22"/>
      <c r="N39" s="22"/>
      <c r="O39" s="22"/>
      <c r="P39" s="22"/>
      <c r="Q39" s="22"/>
      <c r="R39" s="22"/>
      <c r="S39" s="22"/>
      <c r="T39" s="22"/>
      <c r="U39" s="22">
        <v>4479</v>
      </c>
      <c r="V39" s="22">
        <v>2980</v>
      </c>
      <c r="W39" s="22">
        <v>4763</v>
      </c>
      <c r="X39" s="22">
        <v>4509</v>
      </c>
      <c r="Y39" s="22">
        <v>4169</v>
      </c>
    </row>
    <row r="40" spans="1:25" s="41" customFormat="1" ht="12.75">
      <c r="A40" s="245" t="s">
        <v>36</v>
      </c>
      <c r="B40" s="245"/>
      <c r="C40" s="245"/>
      <c r="D40" s="182" t="s">
        <v>481</v>
      </c>
      <c r="E40" s="46" t="s">
        <v>427</v>
      </c>
      <c r="F40" s="47">
        <v>17966</v>
      </c>
      <c r="G40" s="47">
        <v>13423</v>
      </c>
      <c r="H40" s="47">
        <v>16976</v>
      </c>
      <c r="I40" s="21">
        <v>10809</v>
      </c>
      <c r="J40" s="47">
        <v>1398</v>
      </c>
      <c r="K40" s="21">
        <v>-101</v>
      </c>
      <c r="L40" s="21">
        <v>1141</v>
      </c>
      <c r="M40" s="21">
        <v>2974</v>
      </c>
      <c r="N40" s="21"/>
      <c r="O40" s="21">
        <v>-304</v>
      </c>
      <c r="P40" s="21">
        <v>4703</v>
      </c>
      <c r="Q40" s="21">
        <v>4556</v>
      </c>
      <c r="R40" s="21">
        <v>665</v>
      </c>
      <c r="S40" s="21">
        <v>-709</v>
      </c>
      <c r="T40" s="21">
        <v>6367</v>
      </c>
      <c r="U40" s="21">
        <v>10164</v>
      </c>
      <c r="V40" s="21">
        <v>10653</v>
      </c>
      <c r="W40" s="21">
        <v>9631</v>
      </c>
      <c r="X40" s="21">
        <v>6407</v>
      </c>
      <c r="Y40" s="21">
        <v>360</v>
      </c>
    </row>
    <row r="41" spans="1:25" ht="15">
      <c r="A41" s="240" t="s">
        <v>35</v>
      </c>
      <c r="B41" s="240"/>
      <c r="C41" s="240"/>
      <c r="E41" s="39" t="s">
        <v>257</v>
      </c>
      <c r="F41" s="43"/>
      <c r="G41" s="43"/>
      <c r="H41" s="43"/>
      <c r="I41" s="18"/>
      <c r="J41" s="43"/>
      <c r="K41" s="18"/>
      <c r="L41" s="18"/>
      <c r="M41" s="18"/>
      <c r="N41" s="18"/>
      <c r="O41" s="18"/>
      <c r="P41" s="18"/>
      <c r="Q41" s="18"/>
      <c r="R41" s="18"/>
      <c r="S41" s="18"/>
      <c r="T41" s="18"/>
      <c r="U41" s="18"/>
      <c r="V41" s="18"/>
      <c r="W41" s="18"/>
      <c r="X41" s="18"/>
      <c r="Y41" s="18"/>
    </row>
    <row r="42" spans="1:25" ht="15">
      <c r="A42" s="240" t="s">
        <v>36</v>
      </c>
      <c r="B42" s="240"/>
      <c r="C42" s="240" t="s">
        <v>533</v>
      </c>
      <c r="E42" s="49" t="s">
        <v>256</v>
      </c>
      <c r="F42" s="54">
        <v>10.85</v>
      </c>
      <c r="G42" s="54">
        <v>11.4</v>
      </c>
      <c r="H42" s="54">
        <v>12.4</v>
      </c>
      <c r="I42" s="26">
        <v>11.35</v>
      </c>
      <c r="J42" s="54">
        <v>15.58</v>
      </c>
      <c r="K42" s="26">
        <v>15.25</v>
      </c>
      <c r="L42" s="26">
        <v>10.92</v>
      </c>
      <c r="M42" s="26">
        <v>6.05</v>
      </c>
      <c r="N42" s="26">
        <v>-0.49</v>
      </c>
      <c r="O42" s="26">
        <v>9.17</v>
      </c>
      <c r="P42" s="26">
        <f>+P15/P59</f>
        <v>10.409252669039146</v>
      </c>
      <c r="Q42" s="26">
        <v>1.2928293889085127</v>
      </c>
      <c r="R42" s="26">
        <v>9.179577464788732</v>
      </c>
      <c r="S42" s="26">
        <v>14.04427266338721</v>
      </c>
      <c r="T42" s="26">
        <v>7.250500579618505</v>
      </c>
      <c r="U42" s="26">
        <v>8.26</v>
      </c>
      <c r="V42" s="26">
        <v>2.348008385744235</v>
      </c>
      <c r="W42" s="26">
        <v>7.831083323145706</v>
      </c>
      <c r="X42" s="54">
        <v>5.45</v>
      </c>
      <c r="Y42" s="54">
        <v>15.64</v>
      </c>
    </row>
    <row r="43" spans="1:25" ht="12.75">
      <c r="A43" s="240" t="s">
        <v>36</v>
      </c>
      <c r="B43" s="240"/>
      <c r="C43" s="240" t="s">
        <v>533</v>
      </c>
      <c r="E43" s="49" t="s">
        <v>137</v>
      </c>
      <c r="F43" s="43">
        <v>67</v>
      </c>
      <c r="G43" s="43">
        <v>70</v>
      </c>
      <c r="H43" s="43">
        <v>77</v>
      </c>
      <c r="I43" s="18">
        <v>88</v>
      </c>
      <c r="J43" s="43">
        <v>87</v>
      </c>
      <c r="K43" s="18">
        <v>89</v>
      </c>
      <c r="L43" s="18">
        <v>81</v>
      </c>
      <c r="M43" s="18">
        <v>88</v>
      </c>
      <c r="N43" s="18"/>
      <c r="O43" s="18">
        <v>47</v>
      </c>
      <c r="P43" s="18">
        <f>+P37/P60</f>
        <v>56.960227272727266</v>
      </c>
      <c r="Q43" s="18">
        <v>57.775035260930885</v>
      </c>
      <c r="R43" s="18">
        <v>66.24824191279887</v>
      </c>
      <c r="S43" s="18">
        <v>72.40252897787144</v>
      </c>
      <c r="T43" s="18">
        <v>72.51141552511416</v>
      </c>
      <c r="U43" s="18">
        <v>55</v>
      </c>
      <c r="V43" s="18">
        <v>49.993011879804335</v>
      </c>
      <c r="W43" s="18">
        <v>57.516065940206765</v>
      </c>
      <c r="X43" s="18">
        <v>52.21000915110457</v>
      </c>
      <c r="Y43" s="18">
        <v>61.718858733472516</v>
      </c>
    </row>
    <row r="44" spans="1:25" ht="12.75">
      <c r="A44" s="240" t="s">
        <v>36</v>
      </c>
      <c r="B44" s="240"/>
      <c r="C44" s="240" t="s">
        <v>533</v>
      </c>
      <c r="E44" s="42" t="s">
        <v>484</v>
      </c>
      <c r="F44" s="54">
        <v>3</v>
      </c>
      <c r="G44" s="54">
        <v>3.5</v>
      </c>
      <c r="H44" s="54">
        <v>4</v>
      </c>
      <c r="I44" s="26">
        <v>4.5</v>
      </c>
      <c r="J44" s="54">
        <v>6</v>
      </c>
      <c r="K44" s="26">
        <v>6.5</v>
      </c>
      <c r="L44" s="26">
        <v>7</v>
      </c>
      <c r="M44" s="26">
        <v>7.5</v>
      </c>
      <c r="N44" s="26">
        <v>7.5</v>
      </c>
      <c r="O44" s="26">
        <v>4</v>
      </c>
      <c r="P44" s="26">
        <v>4.25</v>
      </c>
      <c r="Q44" s="26">
        <v>0</v>
      </c>
      <c r="R44" s="26">
        <v>4</v>
      </c>
      <c r="S44" s="164">
        <v>6.503</v>
      </c>
      <c r="T44" s="164">
        <v>6.503</v>
      </c>
      <c r="U44" s="164">
        <v>6.5</v>
      </c>
      <c r="V44" s="164">
        <v>6.5</v>
      </c>
      <c r="W44" s="164">
        <v>6.5</v>
      </c>
      <c r="X44" s="164">
        <v>6.5</v>
      </c>
      <c r="Y44" s="164">
        <v>6.5</v>
      </c>
    </row>
    <row r="45" spans="1:25" s="41" customFormat="1" ht="12.75">
      <c r="A45" s="240" t="s">
        <v>36</v>
      </c>
      <c r="B45" s="240"/>
      <c r="C45" s="240"/>
      <c r="D45" s="40"/>
      <c r="E45" s="46" t="s">
        <v>251</v>
      </c>
      <c r="F45" s="55">
        <v>139.5</v>
      </c>
      <c r="G45" s="55">
        <v>214</v>
      </c>
      <c r="H45" s="55">
        <v>122.5</v>
      </c>
      <c r="I45" s="27">
        <v>156.5</v>
      </c>
      <c r="J45" s="55">
        <v>137.5</v>
      </c>
      <c r="K45" s="27">
        <v>158</v>
      </c>
      <c r="L45" s="27">
        <v>152</v>
      </c>
      <c r="M45" s="27">
        <v>206.5</v>
      </c>
      <c r="N45" s="27"/>
      <c r="O45" s="27">
        <v>137</v>
      </c>
      <c r="P45" s="27">
        <v>108.5</v>
      </c>
      <c r="Q45" s="27">
        <v>66.75</v>
      </c>
      <c r="R45" s="27">
        <v>167.5</v>
      </c>
      <c r="S45" s="27">
        <v>191</v>
      </c>
      <c r="T45" s="27">
        <v>109.7</v>
      </c>
      <c r="U45" s="27">
        <v>170.5</v>
      </c>
      <c r="V45" s="27">
        <v>168.5</v>
      </c>
      <c r="W45" s="27">
        <v>228.8</v>
      </c>
      <c r="X45" s="27">
        <v>205.2</v>
      </c>
      <c r="Y45" s="27">
        <v>226.3</v>
      </c>
    </row>
    <row r="46" spans="1:25" ht="12.75">
      <c r="A46" s="240" t="s">
        <v>35</v>
      </c>
      <c r="B46" s="240"/>
      <c r="C46" s="240"/>
      <c r="E46" s="35" t="s">
        <v>133</v>
      </c>
      <c r="F46" s="43"/>
      <c r="G46" s="43"/>
      <c r="H46" s="43"/>
      <c r="I46" s="18"/>
      <c r="J46" s="43"/>
      <c r="K46" s="18"/>
      <c r="L46" s="18"/>
      <c r="M46" s="18"/>
      <c r="N46" s="18"/>
      <c r="O46" s="18"/>
      <c r="P46" s="18"/>
      <c r="Q46" s="18"/>
      <c r="R46" s="18"/>
      <c r="S46" s="18"/>
      <c r="T46" s="18"/>
      <c r="U46" s="18"/>
      <c r="V46" s="18"/>
      <c r="W46" s="18"/>
      <c r="X46" s="18"/>
      <c r="Y46" s="18"/>
    </row>
    <row r="47" spans="1:25" ht="12.75">
      <c r="A47" s="240" t="s">
        <v>36</v>
      </c>
      <c r="B47" s="240"/>
      <c r="C47" s="240" t="s">
        <v>530</v>
      </c>
      <c r="E47" s="42" t="s">
        <v>557</v>
      </c>
      <c r="F47" s="51">
        <v>18.2</v>
      </c>
      <c r="G47" s="51">
        <v>17.1</v>
      </c>
      <c r="H47" s="51">
        <v>17</v>
      </c>
      <c r="I47" s="24">
        <v>13.2</v>
      </c>
      <c r="J47" s="51">
        <v>17.2</v>
      </c>
      <c r="K47" s="24">
        <v>17.3</v>
      </c>
      <c r="L47" s="24">
        <v>13.1</v>
      </c>
      <c r="M47" s="24">
        <v>7</v>
      </c>
      <c r="N47" s="24"/>
      <c r="O47" s="24">
        <v>18.7</v>
      </c>
      <c r="P47" s="24">
        <v>20.3</v>
      </c>
      <c r="Q47" s="24">
        <v>2.4</v>
      </c>
      <c r="R47" s="24">
        <v>14.899697090929873</v>
      </c>
      <c r="S47" s="24">
        <v>20.6</v>
      </c>
      <c r="T47" s="24">
        <v>10.4</v>
      </c>
      <c r="U47" s="24">
        <v>14.4</v>
      </c>
      <c r="V47" s="24">
        <v>4.44185923536566</v>
      </c>
      <c r="W47" s="24">
        <v>15.655768613046938</v>
      </c>
      <c r="X47" s="24">
        <v>9.932977739487388</v>
      </c>
      <c r="Y47" s="24">
        <v>29.412919950771165</v>
      </c>
    </row>
    <row r="48" spans="1:25" ht="12.75">
      <c r="A48" s="240" t="s">
        <v>36</v>
      </c>
      <c r="B48" s="240"/>
      <c r="C48" s="240" t="s">
        <v>530</v>
      </c>
      <c r="E48" s="42" t="s">
        <v>552</v>
      </c>
      <c r="F48" s="51">
        <v>17.5</v>
      </c>
      <c r="G48" s="51">
        <v>18.3</v>
      </c>
      <c r="H48" s="51">
        <v>19.6</v>
      </c>
      <c r="I48" s="24">
        <v>15</v>
      </c>
      <c r="J48" s="51">
        <v>22.1</v>
      </c>
      <c r="K48" s="24">
        <v>23.9</v>
      </c>
      <c r="L48" s="24">
        <v>17.5</v>
      </c>
      <c r="M48" s="24">
        <v>13</v>
      </c>
      <c r="N48" s="24">
        <v>5.4</v>
      </c>
      <c r="O48" s="24">
        <v>23.2</v>
      </c>
      <c r="P48" s="24">
        <v>21.7</v>
      </c>
      <c r="Q48" s="24">
        <v>5.8</v>
      </c>
      <c r="R48" s="24">
        <v>19.37598609009241</v>
      </c>
      <c r="S48" s="24">
        <v>27.8</v>
      </c>
      <c r="T48" s="24">
        <v>13.7</v>
      </c>
      <c r="U48" s="24">
        <v>14.8</v>
      </c>
      <c r="V48" s="24">
        <v>5.81992310702857</v>
      </c>
      <c r="W48" s="24">
        <v>14.22962909981006</v>
      </c>
      <c r="X48" s="24">
        <v>11.03098011123542</v>
      </c>
      <c r="Y48" s="24">
        <v>29.937491053108744</v>
      </c>
    </row>
    <row r="49" spans="1:25" ht="15">
      <c r="A49" s="240" t="s">
        <v>36</v>
      </c>
      <c r="B49" s="240"/>
      <c r="C49" s="240" t="s">
        <v>530</v>
      </c>
      <c r="E49" s="42" t="s">
        <v>486</v>
      </c>
      <c r="F49" s="51">
        <v>33.3</v>
      </c>
      <c r="G49" s="51">
        <v>30.6</v>
      </c>
      <c r="H49" s="51">
        <v>30.4</v>
      </c>
      <c r="I49" s="24">
        <v>29.3</v>
      </c>
      <c r="J49" s="51">
        <v>23.1</v>
      </c>
      <c r="K49" s="24">
        <v>23.6</v>
      </c>
      <c r="L49" s="24">
        <v>21.2</v>
      </c>
      <c r="M49" s="24">
        <v>21</v>
      </c>
      <c r="N49" s="24">
        <v>15.7</v>
      </c>
      <c r="O49" s="24">
        <v>16.5</v>
      </c>
      <c r="P49" s="24">
        <v>18.6</v>
      </c>
      <c r="Q49" s="24">
        <v>18.128538532125976</v>
      </c>
      <c r="R49" s="24">
        <v>17.11307826605722</v>
      </c>
      <c r="S49" s="24">
        <v>18.21009679603301</v>
      </c>
      <c r="T49" s="24">
        <v>23.83036163286192</v>
      </c>
      <c r="U49" s="24">
        <v>22.5</v>
      </c>
      <c r="V49" s="24">
        <v>21.847511181521387</v>
      </c>
      <c r="W49" s="24">
        <v>20.434864310433927</v>
      </c>
      <c r="X49" s="24">
        <v>17.29955078693081</v>
      </c>
      <c r="Y49" s="24">
        <v>14.195623186132245</v>
      </c>
    </row>
    <row r="50" spans="1:25" ht="15">
      <c r="A50" s="240" t="s">
        <v>36</v>
      </c>
      <c r="B50" s="240"/>
      <c r="C50" s="240" t="s">
        <v>530</v>
      </c>
      <c r="E50" s="42" t="s">
        <v>487</v>
      </c>
      <c r="F50" s="51">
        <v>18.2</v>
      </c>
      <c r="G50" s="51">
        <v>18.2</v>
      </c>
      <c r="H50" s="51">
        <v>18.1</v>
      </c>
      <c r="I50" s="24">
        <v>19.1</v>
      </c>
      <c r="J50" s="51">
        <v>18.6</v>
      </c>
      <c r="K50" s="24">
        <v>18.9</v>
      </c>
      <c r="L50" s="24">
        <v>18.2</v>
      </c>
      <c r="M50" s="24">
        <v>18.1</v>
      </c>
      <c r="N50" s="24">
        <v>18.3</v>
      </c>
      <c r="O50" s="24">
        <v>19.1</v>
      </c>
      <c r="P50" s="24">
        <v>18.3</v>
      </c>
      <c r="Q50" s="24">
        <v>17.94933947400315</v>
      </c>
      <c r="R50" s="24">
        <v>17.69825324829141</v>
      </c>
      <c r="S50" s="24">
        <v>17.69958463706062</v>
      </c>
      <c r="T50" s="24">
        <v>16.962072220702797</v>
      </c>
      <c r="U50" s="24">
        <v>15.904406585092229</v>
      </c>
      <c r="V50" s="24">
        <v>17.016043623250564</v>
      </c>
      <c r="W50" s="24">
        <v>16.178612255124573</v>
      </c>
      <c r="X50" s="24">
        <v>14.33684516691982</v>
      </c>
      <c r="Y50" s="24">
        <v>15.223154757235863</v>
      </c>
    </row>
    <row r="51" spans="1:25" ht="15">
      <c r="A51" s="240" t="s">
        <v>36</v>
      </c>
      <c r="B51" s="240"/>
      <c r="C51" s="240" t="s">
        <v>530</v>
      </c>
      <c r="E51" s="42" t="s">
        <v>488</v>
      </c>
      <c r="F51" s="51">
        <v>14.4</v>
      </c>
      <c r="G51" s="51">
        <v>14</v>
      </c>
      <c r="H51" s="51">
        <v>13.5</v>
      </c>
      <c r="I51" s="24">
        <v>13.4</v>
      </c>
      <c r="J51" s="51">
        <v>12.9</v>
      </c>
      <c r="K51" s="24">
        <v>13.4</v>
      </c>
      <c r="L51" s="24">
        <v>13.9</v>
      </c>
      <c r="M51" s="24">
        <v>13.9</v>
      </c>
      <c r="N51" s="24">
        <v>10.8</v>
      </c>
      <c r="O51" s="24">
        <v>11</v>
      </c>
      <c r="P51" s="24">
        <v>11.1</v>
      </c>
      <c r="Q51" s="24">
        <v>10.977024429939227</v>
      </c>
      <c r="R51" s="24">
        <v>8.817104305027943</v>
      </c>
      <c r="S51" s="24">
        <v>10.182796289180436</v>
      </c>
      <c r="T51" s="24">
        <v>10.549022029696419</v>
      </c>
      <c r="U51" s="24">
        <v>11.273448302851627</v>
      </c>
      <c r="V51" s="24">
        <v>10.63798128681587</v>
      </c>
      <c r="W51" s="24">
        <v>11.215333782238995</v>
      </c>
      <c r="X51" s="24">
        <v>11.455741201564166</v>
      </c>
      <c r="Y51" s="24">
        <v>10.524747038983449</v>
      </c>
    </row>
    <row r="52" spans="1:25" ht="12.75">
      <c r="A52" s="240" t="s">
        <v>36</v>
      </c>
      <c r="B52" s="240"/>
      <c r="C52" s="240" t="s">
        <v>587</v>
      </c>
      <c r="E52" s="42" t="s">
        <v>260</v>
      </c>
      <c r="F52" s="54">
        <v>0.71</v>
      </c>
      <c r="G52" s="54">
        <v>0.5</v>
      </c>
      <c r="H52" s="54">
        <v>0.63</v>
      </c>
      <c r="I52" s="26">
        <v>0.37</v>
      </c>
      <c r="J52" s="54">
        <v>0.05</v>
      </c>
      <c r="K52" s="26">
        <v>0</v>
      </c>
      <c r="L52" s="26">
        <v>0.05</v>
      </c>
      <c r="M52" s="26">
        <v>0.11</v>
      </c>
      <c r="N52" s="26"/>
      <c r="O52" s="26">
        <v>-0.02</v>
      </c>
      <c r="P52" s="26">
        <v>0.29</v>
      </c>
      <c r="Q52" s="26">
        <v>0.27805920048825145</v>
      </c>
      <c r="R52" s="26">
        <v>0.03529536648797835</v>
      </c>
      <c r="S52" s="26">
        <v>-0.03439576965992335</v>
      </c>
      <c r="T52" s="26">
        <v>0.31005600194789384</v>
      </c>
      <c r="U52" s="26">
        <v>0.65</v>
      </c>
      <c r="V52" s="26">
        <v>0.7445485043332402</v>
      </c>
      <c r="W52" s="26">
        <v>0.5848311877580763</v>
      </c>
      <c r="X52" s="26">
        <v>0.42699100299900034</v>
      </c>
      <c r="Y52" s="26">
        <v>0.02029541098207239</v>
      </c>
    </row>
    <row r="53" spans="1:25" ht="12.75">
      <c r="A53" s="240" t="s">
        <v>36</v>
      </c>
      <c r="B53" s="240"/>
      <c r="C53" s="240" t="s">
        <v>587</v>
      </c>
      <c r="E53" s="42" t="s">
        <v>589</v>
      </c>
      <c r="F53" s="54">
        <v>3.46</v>
      </c>
      <c r="G53" s="54">
        <v>4.55</v>
      </c>
      <c r="H53" s="54">
        <v>4.34</v>
      </c>
      <c r="I53" s="26">
        <v>3.8</v>
      </c>
      <c r="J53" s="54">
        <v>7.66</v>
      </c>
      <c r="K53" s="26">
        <v>8.28</v>
      </c>
      <c r="L53" s="26">
        <v>5.75</v>
      </c>
      <c r="M53" s="26">
        <v>4.32</v>
      </c>
      <c r="N53" s="26"/>
      <c r="O53" s="26">
        <v>6.13</v>
      </c>
      <c r="P53" s="26">
        <v>7.49</v>
      </c>
      <c r="Q53" s="26">
        <v>1.8626155878467636</v>
      </c>
      <c r="R53" s="26">
        <v>7.536585365853658</v>
      </c>
      <c r="S53" s="26">
        <v>12.635964912280702</v>
      </c>
      <c r="T53" s="26">
        <v>5.843205574912892</v>
      </c>
      <c r="U53" s="26">
        <v>4</v>
      </c>
      <c r="V53" s="26">
        <v>2.1105651105651106</v>
      </c>
      <c r="W53" s="26">
        <v>5.1625</v>
      </c>
      <c r="X53" s="26">
        <v>3.7536041939711664</v>
      </c>
      <c r="Y53" s="26">
        <v>3.7536041939711664</v>
      </c>
    </row>
    <row r="54" spans="1:25" ht="12.75">
      <c r="A54" s="240" t="s">
        <v>36</v>
      </c>
      <c r="B54" s="240"/>
      <c r="C54" s="240" t="s">
        <v>530</v>
      </c>
      <c r="E54" s="46" t="s">
        <v>252</v>
      </c>
      <c r="F54" s="50">
        <v>4.5</v>
      </c>
      <c r="G54" s="50">
        <v>5</v>
      </c>
      <c r="H54" s="50">
        <v>5.2</v>
      </c>
      <c r="I54" s="23">
        <v>5.1</v>
      </c>
      <c r="J54" s="50">
        <v>6.9</v>
      </c>
      <c r="K54" s="23">
        <v>7.3</v>
      </c>
      <c r="L54" s="23">
        <v>8.6</v>
      </c>
      <c r="M54" s="23">
        <v>8.5</v>
      </c>
      <c r="N54" s="23"/>
      <c r="O54" s="23">
        <v>8.5</v>
      </c>
      <c r="P54" s="23">
        <f>+P44/P43*100</f>
        <v>7.46134663341646</v>
      </c>
      <c r="Q54" s="23">
        <v>0</v>
      </c>
      <c r="R54" s="23">
        <v>6.037896077702882</v>
      </c>
      <c r="S54" s="23">
        <f>+S44/S43*100</f>
        <v>8.981730461359337</v>
      </c>
      <c r="T54" s="23">
        <f>+T44/T43*100</f>
        <v>8.968243073047859</v>
      </c>
      <c r="U54" s="23">
        <v>11.818181818181818</v>
      </c>
      <c r="V54" s="23">
        <v>13</v>
      </c>
      <c r="W54" s="23">
        <v>11.30119018702939</v>
      </c>
      <c r="X54" s="23">
        <v>12.449720093302231</v>
      </c>
      <c r="Y54" s="23">
        <v>10.531627015447063</v>
      </c>
    </row>
    <row r="55" spans="1:25" ht="12.75">
      <c r="A55" s="240" t="s">
        <v>35</v>
      </c>
      <c r="B55" s="240"/>
      <c r="C55" s="240"/>
      <c r="E55" s="35" t="s">
        <v>253</v>
      </c>
      <c r="F55" s="43"/>
      <c r="G55" s="43"/>
      <c r="H55" s="43"/>
      <c r="I55" s="18"/>
      <c r="J55" s="43"/>
      <c r="K55" s="18"/>
      <c r="L55" s="18"/>
      <c r="M55" s="18"/>
      <c r="N55" s="18"/>
      <c r="O55" s="18"/>
      <c r="P55" s="18"/>
      <c r="Q55" s="18"/>
      <c r="R55" s="18"/>
      <c r="S55" s="18"/>
      <c r="T55" s="18"/>
      <c r="U55" s="18"/>
      <c r="V55" s="18"/>
      <c r="W55" s="18"/>
      <c r="X55" s="18"/>
      <c r="Y55" s="18"/>
    </row>
    <row r="56" spans="1:25" ht="12.75">
      <c r="A56" s="240" t="s">
        <v>36</v>
      </c>
      <c r="B56" s="240"/>
      <c r="C56" s="240" t="s">
        <v>588</v>
      </c>
      <c r="E56" s="42" t="s">
        <v>130</v>
      </c>
      <c r="F56" s="43">
        <v>99322</v>
      </c>
      <c r="G56" s="43">
        <v>92916</v>
      </c>
      <c r="H56" s="43">
        <v>87128</v>
      </c>
      <c r="I56" s="18">
        <v>87139</v>
      </c>
      <c r="J56" s="18">
        <v>81971</v>
      </c>
      <c r="K56" s="18">
        <v>77140</v>
      </c>
      <c r="L56" s="18">
        <v>72382</v>
      </c>
      <c r="M56" s="18">
        <v>69523</v>
      </c>
      <c r="N56" s="18">
        <v>57842</v>
      </c>
      <c r="O56" s="18">
        <v>55471</v>
      </c>
      <c r="P56" s="18">
        <v>56898</v>
      </c>
      <c r="Q56" s="18">
        <v>55177</v>
      </c>
      <c r="R56" s="18">
        <v>50633</v>
      </c>
      <c r="S56" s="18">
        <v>51544</v>
      </c>
      <c r="T56" s="18">
        <v>52916</v>
      </c>
      <c r="U56" s="18">
        <v>59478</v>
      </c>
      <c r="V56" s="18">
        <v>60754</v>
      </c>
      <c r="W56" s="18">
        <v>60038</v>
      </c>
      <c r="X56" s="18">
        <v>58265</v>
      </c>
      <c r="Y56" s="18">
        <v>55400</v>
      </c>
    </row>
    <row r="57" spans="1:25" ht="12.75">
      <c r="A57" s="240" t="s">
        <v>36</v>
      </c>
      <c r="B57" s="240"/>
      <c r="C57" s="240"/>
      <c r="E57" s="42" t="s">
        <v>254</v>
      </c>
      <c r="F57" s="43">
        <v>18506</v>
      </c>
      <c r="G57" s="43">
        <v>17812</v>
      </c>
      <c r="H57" s="43">
        <v>17241</v>
      </c>
      <c r="I57" s="18">
        <v>20330</v>
      </c>
      <c r="J57" s="43">
        <v>19408</v>
      </c>
      <c r="K57" s="18">
        <v>17154</v>
      </c>
      <c r="L57" s="18">
        <v>17014</v>
      </c>
      <c r="M57" s="18">
        <v>17033</v>
      </c>
      <c r="N57" s="18">
        <v>13987</v>
      </c>
      <c r="O57" s="18">
        <v>12849</v>
      </c>
      <c r="P57" s="18">
        <v>12612</v>
      </c>
      <c r="Q57" s="18">
        <v>12662</v>
      </c>
      <c r="R57" s="18">
        <v>13162</v>
      </c>
      <c r="S57" s="18">
        <v>12678</v>
      </c>
      <c r="T57" s="135">
        <v>13137</v>
      </c>
      <c r="U57" s="144">
        <v>13785</v>
      </c>
      <c r="V57" s="144">
        <v>13521</v>
      </c>
      <c r="W57" s="144">
        <v>14278</v>
      </c>
      <c r="X57" s="144">
        <v>15858</v>
      </c>
      <c r="Y57" s="144">
        <v>15886</v>
      </c>
    </row>
    <row r="58" spans="1:25" ht="12.75">
      <c r="A58" s="240" t="s">
        <v>36</v>
      </c>
      <c r="B58" s="240"/>
      <c r="C58" s="240" t="s">
        <v>588</v>
      </c>
      <c r="E58" s="46" t="s">
        <v>255</v>
      </c>
      <c r="F58" s="47">
        <v>50500</v>
      </c>
      <c r="G58" s="47">
        <v>52600</v>
      </c>
      <c r="H58" s="47">
        <v>61400</v>
      </c>
      <c r="I58" s="21">
        <v>58600</v>
      </c>
      <c r="J58" s="47">
        <v>59300</v>
      </c>
      <c r="K58" s="21">
        <v>60400</v>
      </c>
      <c r="L58" s="21">
        <v>63800</v>
      </c>
      <c r="M58" s="21">
        <v>60900</v>
      </c>
      <c r="N58" s="21">
        <v>60900</v>
      </c>
      <c r="O58" s="21">
        <v>59500</v>
      </c>
      <c r="P58" s="21">
        <v>52700</v>
      </c>
      <c r="Q58" s="21">
        <v>52600</v>
      </c>
      <c r="R58" s="21">
        <v>52000</v>
      </c>
      <c r="S58" s="21">
        <v>57200</v>
      </c>
      <c r="T58" s="21">
        <v>58800</v>
      </c>
      <c r="U58" s="47">
        <v>51800</v>
      </c>
      <c r="V58" s="47">
        <v>51500</v>
      </c>
      <c r="W58" s="47">
        <v>46500</v>
      </c>
      <c r="X58" s="47">
        <v>45485</v>
      </c>
      <c r="Y58" s="47">
        <v>48939</v>
      </c>
    </row>
    <row r="59" spans="1:25" ht="12.75">
      <c r="A59" s="240" t="s">
        <v>36</v>
      </c>
      <c r="B59" s="240"/>
      <c r="C59" s="240" t="s">
        <v>588</v>
      </c>
      <c r="E59" s="49" t="s">
        <v>483</v>
      </c>
      <c r="F59" s="56"/>
      <c r="G59" s="56"/>
      <c r="H59" s="52">
        <v>359.1</v>
      </c>
      <c r="I59" s="25">
        <v>340.1</v>
      </c>
      <c r="J59" s="52">
        <v>327.1</v>
      </c>
      <c r="K59" s="25">
        <v>313.3</v>
      </c>
      <c r="L59" s="25">
        <v>298.3</v>
      </c>
      <c r="M59" s="25">
        <v>291.4</v>
      </c>
      <c r="N59" s="25">
        <v>291.4</v>
      </c>
      <c r="O59" s="25">
        <v>288.8</v>
      </c>
      <c r="P59" s="25">
        <v>281</v>
      </c>
      <c r="Q59" s="25">
        <v>283.1</v>
      </c>
      <c r="R59" s="25">
        <v>284</v>
      </c>
      <c r="S59" s="25">
        <v>284.6</v>
      </c>
      <c r="T59" s="25">
        <v>284.67</v>
      </c>
      <c r="U59" s="25">
        <v>285.9</v>
      </c>
      <c r="V59" s="25">
        <v>286.2</v>
      </c>
      <c r="W59" s="25">
        <v>286.295</v>
      </c>
      <c r="X59" s="25">
        <v>287.148</v>
      </c>
      <c r="Y59" s="25">
        <v>287.4</v>
      </c>
    </row>
    <row r="60" spans="1:25" ht="12.75">
      <c r="A60" s="240" t="s">
        <v>36</v>
      </c>
      <c r="B60" s="240"/>
      <c r="C60" s="240" t="s">
        <v>588</v>
      </c>
      <c r="E60" s="46" t="s">
        <v>482</v>
      </c>
      <c r="F60" s="55"/>
      <c r="G60" s="55"/>
      <c r="H60" s="50">
        <v>341.1</v>
      </c>
      <c r="I60" s="23">
        <v>329.6</v>
      </c>
      <c r="J60" s="50">
        <v>318.3</v>
      </c>
      <c r="K60" s="23">
        <v>307.1</v>
      </c>
      <c r="L60" s="23">
        <v>291.2</v>
      </c>
      <c r="M60" s="23">
        <v>293.1</v>
      </c>
      <c r="N60" s="23">
        <v>293.1</v>
      </c>
      <c r="O60" s="23">
        <v>278.9</v>
      </c>
      <c r="P60" s="23">
        <v>281.6</v>
      </c>
      <c r="Q60" s="23">
        <v>283.6</v>
      </c>
      <c r="R60" s="23">
        <v>284.4</v>
      </c>
      <c r="S60" s="23">
        <v>284.7</v>
      </c>
      <c r="T60" s="23">
        <v>284.7</v>
      </c>
      <c r="U60" s="23">
        <v>286.1</v>
      </c>
      <c r="V60" s="23">
        <v>286.2</v>
      </c>
      <c r="W60" s="23">
        <v>286.32</v>
      </c>
      <c r="X60" s="23">
        <v>287.397</v>
      </c>
      <c r="Y60" s="23">
        <v>287.4</v>
      </c>
    </row>
    <row r="61" spans="1:20" ht="12.75">
      <c r="A61" s="240" t="s">
        <v>38</v>
      </c>
      <c r="B61" s="240"/>
      <c r="C61" s="240"/>
      <c r="F61" s="43"/>
      <c r="G61" s="43"/>
      <c r="H61" s="43"/>
      <c r="I61" s="43"/>
      <c r="J61" s="43"/>
      <c r="K61" s="28"/>
      <c r="L61" s="17"/>
      <c r="M61" s="17"/>
      <c r="N61" s="17"/>
      <c r="O61" s="17"/>
      <c r="P61" s="17"/>
      <c r="Q61" s="17"/>
      <c r="R61" s="17"/>
      <c r="S61" s="17"/>
      <c r="T61" s="17"/>
    </row>
    <row r="62" spans="1:19" ht="26.25">
      <c r="A62" s="240" t="s">
        <v>76</v>
      </c>
      <c r="B62" s="240"/>
      <c r="C62" s="240"/>
      <c r="E62" s="213" t="s">
        <v>612</v>
      </c>
      <c r="F62" s="43"/>
      <c r="G62" s="43"/>
      <c r="H62" s="43"/>
      <c r="I62" s="43"/>
      <c r="J62" s="43"/>
      <c r="K62" s="28"/>
      <c r="L62" s="17"/>
      <c r="M62" s="17"/>
      <c r="N62" s="17"/>
      <c r="O62" s="17"/>
      <c r="P62" s="17"/>
      <c r="Q62" s="17"/>
      <c r="R62" s="17"/>
      <c r="S62" s="17"/>
    </row>
    <row r="63" spans="1:19" ht="39">
      <c r="A63" s="240" t="s">
        <v>76</v>
      </c>
      <c r="B63" s="240"/>
      <c r="C63" s="240"/>
      <c r="E63" s="213" t="s">
        <v>490</v>
      </c>
      <c r="F63" s="43"/>
      <c r="G63" s="43"/>
      <c r="H63" s="43"/>
      <c r="I63" s="43"/>
      <c r="J63" s="43"/>
      <c r="K63" s="28"/>
      <c r="L63" s="17"/>
      <c r="M63" s="17"/>
      <c r="N63" s="17"/>
      <c r="O63" s="17"/>
      <c r="P63" s="17"/>
      <c r="Q63" s="17"/>
      <c r="R63" s="17"/>
      <c r="S63" s="17"/>
    </row>
    <row r="64" spans="1:19" ht="12.75">
      <c r="A64" s="240" t="s">
        <v>76</v>
      </c>
      <c r="B64" s="240"/>
      <c r="C64" s="240"/>
      <c r="E64" s="40" t="s">
        <v>485</v>
      </c>
      <c r="F64" s="43"/>
      <c r="G64" s="43"/>
      <c r="H64" s="43"/>
      <c r="I64" s="43"/>
      <c r="J64" s="43"/>
      <c r="K64" s="28"/>
      <c r="L64" s="17"/>
      <c r="M64" s="17"/>
      <c r="N64" s="17"/>
      <c r="O64" s="17"/>
      <c r="P64" s="17"/>
      <c r="Q64" s="17"/>
      <c r="R64" s="17"/>
      <c r="S64" s="17"/>
    </row>
    <row r="65" spans="1:19" ht="66">
      <c r="A65" s="240" t="s">
        <v>76</v>
      </c>
      <c r="B65" s="240"/>
      <c r="C65" s="240"/>
      <c r="E65" s="213" t="s">
        <v>512</v>
      </c>
      <c r="F65" s="43"/>
      <c r="G65" s="43"/>
      <c r="H65" s="43"/>
      <c r="I65" s="43"/>
      <c r="J65" s="43"/>
      <c r="K65" s="28"/>
      <c r="L65" s="17"/>
      <c r="M65" s="17"/>
      <c r="N65" s="17"/>
      <c r="O65" s="17"/>
      <c r="P65" s="17"/>
      <c r="Q65" s="17"/>
      <c r="R65" s="17"/>
      <c r="S65" s="17"/>
    </row>
    <row r="66" spans="1:19" ht="12.75">
      <c r="A66" s="240" t="s">
        <v>76</v>
      </c>
      <c r="B66" s="240"/>
      <c r="C66" s="240"/>
      <c r="E66" s="40" t="s">
        <v>489</v>
      </c>
      <c r="F66" s="43"/>
      <c r="G66" s="43"/>
      <c r="H66" s="43"/>
      <c r="I66" s="43"/>
      <c r="J66" s="43"/>
      <c r="K66" s="28"/>
      <c r="L66" s="17"/>
      <c r="M66" s="17"/>
      <c r="N66" s="17"/>
      <c r="O66" s="17"/>
      <c r="P66" s="17"/>
      <c r="Q66" s="17"/>
      <c r="R66" s="17"/>
      <c r="S66" s="17"/>
    </row>
  </sheetData>
  <sheetProtection/>
  <printOptions/>
  <pageMargins left="0.75" right="0.75" top="1" bottom="1" header="0.5" footer="0.5"/>
  <pageSetup fitToHeight="1" fitToWidth="1" horizontalDpi="600" verticalDpi="600" orientation="landscape" paperSize="8" scale="38" r:id="rId1"/>
  <headerFooter alignWithMargins="0">
    <oddHeader>&amp;L&amp;D/&amp;F</oddHeader>
  </headerFooter>
  <rowBreaks count="1" manualBreakCount="1">
    <brk id="40"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U12"/>
  <sheetViews>
    <sheetView zoomScaleSheetLayoutView="100" zoomScalePageLayoutView="0" workbookViewId="0" topLeftCell="A1">
      <selection activeCell="A1" sqref="A1"/>
    </sheetView>
  </sheetViews>
  <sheetFormatPr defaultColWidth="9.140625" defaultRowHeight="12.75"/>
  <cols>
    <col min="1" max="1" width="11.140625" style="252" bestFit="1" customWidth="1"/>
    <col min="2" max="2" width="12.140625" style="60" bestFit="1" customWidth="1"/>
    <col min="3" max="3" width="11.28125" style="60" bestFit="1" customWidth="1"/>
    <col min="4" max="4" width="23.421875" style="60" hidden="1" customWidth="1"/>
    <col min="5" max="5" width="40.421875" style="68" bestFit="1" customWidth="1"/>
    <col min="6" max="8" width="11.8515625" style="95" customWidth="1"/>
    <col min="9" max="11" width="11.8515625" style="60" customWidth="1"/>
    <col min="12" max="13" width="11.8515625" style="29" customWidth="1"/>
    <col min="14" max="16" width="9.140625" style="29" customWidth="1"/>
    <col min="17" max="16384" width="9.140625" style="29" customWidth="1"/>
  </cols>
  <sheetData>
    <row r="1" spans="1:6" ht="17.25">
      <c r="A1" s="249">
        <v>42735</v>
      </c>
      <c r="B1" s="97" t="s">
        <v>141</v>
      </c>
      <c r="C1" s="98"/>
      <c r="D1" s="99" t="str">
        <f>Content!B1</f>
        <v>AB Electrolux</v>
      </c>
      <c r="E1" s="147" t="str">
        <f>Content!C1</f>
        <v>AB Electrolux</v>
      </c>
      <c r="F1" s="29"/>
    </row>
    <row r="2" spans="1:6" ht="12.75">
      <c r="A2" s="250"/>
      <c r="B2" s="97" t="s">
        <v>143</v>
      </c>
      <c r="C2" s="98"/>
      <c r="D2" s="100">
        <f>A1</f>
        <v>42735</v>
      </c>
      <c r="E2" s="286">
        <f>A1</f>
        <v>42735</v>
      </c>
      <c r="F2" s="29"/>
    </row>
    <row r="3" spans="1:10" ht="24.75" customHeight="1">
      <c r="A3" s="250"/>
      <c r="B3" s="97" t="s">
        <v>144</v>
      </c>
      <c r="C3" s="98" t="s">
        <v>145</v>
      </c>
      <c r="D3" s="102" t="s">
        <v>146</v>
      </c>
      <c r="E3" s="287" t="s">
        <v>147</v>
      </c>
      <c r="F3" s="29"/>
      <c r="G3" s="110"/>
      <c r="H3" s="110"/>
      <c r="J3" s="108"/>
    </row>
    <row r="4" spans="1:11" ht="12.75">
      <c r="A4" s="259" t="s">
        <v>34</v>
      </c>
      <c r="B4" s="97" t="s">
        <v>148</v>
      </c>
      <c r="C4" s="58"/>
      <c r="D4" s="111" t="s">
        <v>258</v>
      </c>
      <c r="E4" s="112" t="s">
        <v>427</v>
      </c>
      <c r="F4" s="110"/>
      <c r="G4" s="60"/>
      <c r="H4" s="60"/>
      <c r="J4" s="29"/>
      <c r="K4" s="29"/>
    </row>
    <row r="5" spans="1:11" ht="12.75">
      <c r="A5" s="259"/>
      <c r="B5" s="97" t="s">
        <v>150</v>
      </c>
      <c r="C5" s="58" t="s">
        <v>284</v>
      </c>
      <c r="D5" s="109"/>
      <c r="E5" s="116"/>
      <c r="F5" s="110"/>
      <c r="G5" s="60"/>
      <c r="H5" s="60"/>
      <c r="J5" s="29"/>
      <c r="K5" s="29"/>
    </row>
    <row r="6" spans="1:21" s="153" customFormat="1" ht="12.75">
      <c r="A6" s="277" t="s">
        <v>35</v>
      </c>
      <c r="B6" s="113" t="s">
        <v>149</v>
      </c>
      <c r="C6" s="103" t="s">
        <v>284</v>
      </c>
      <c r="D6" s="232"/>
      <c r="E6" s="235" t="s">
        <v>577</v>
      </c>
      <c r="F6" s="233" t="s">
        <v>346</v>
      </c>
      <c r="G6" s="233" t="s">
        <v>347</v>
      </c>
      <c r="H6" s="233" t="s">
        <v>348</v>
      </c>
      <c r="I6" s="233" t="s">
        <v>349</v>
      </c>
      <c r="J6" s="233" t="s">
        <v>350</v>
      </c>
      <c r="K6" s="233" t="s">
        <v>351</v>
      </c>
      <c r="L6" s="233" t="s">
        <v>352</v>
      </c>
      <c r="M6" s="233" t="s">
        <v>353</v>
      </c>
      <c r="N6" s="233" t="s">
        <v>360</v>
      </c>
      <c r="O6" s="233" t="s">
        <v>376</v>
      </c>
      <c r="P6" s="233" t="s">
        <v>404</v>
      </c>
      <c r="Q6" s="233" t="s">
        <v>415</v>
      </c>
      <c r="R6" s="233" t="s">
        <v>433</v>
      </c>
      <c r="S6" s="233" t="s">
        <v>444</v>
      </c>
      <c r="T6" s="233" t="s">
        <v>468</v>
      </c>
      <c r="U6" s="233" t="s">
        <v>609</v>
      </c>
    </row>
    <row r="7" spans="1:21" ht="12.75">
      <c r="A7" s="252" t="s">
        <v>36</v>
      </c>
      <c r="B7" s="252"/>
      <c r="C7" s="262"/>
      <c r="D7" s="109"/>
      <c r="E7" s="94" t="s">
        <v>259</v>
      </c>
      <c r="F7" s="22">
        <v>23183</v>
      </c>
      <c r="G7" s="22">
        <v>15698</v>
      </c>
      <c r="H7" s="22">
        <v>12501</v>
      </c>
      <c r="I7" s="22">
        <v>9843</v>
      </c>
      <c r="J7" s="22">
        <v>8914</v>
      </c>
      <c r="K7" s="22">
        <v>7495</v>
      </c>
      <c r="L7" s="22">
        <v>11163</v>
      </c>
      <c r="M7" s="22">
        <v>13946</v>
      </c>
      <c r="N7" s="22">
        <v>14022</v>
      </c>
      <c r="O7" s="22">
        <v>12096</v>
      </c>
      <c r="P7" s="22">
        <v>14206</v>
      </c>
      <c r="Q7" s="22">
        <v>13088</v>
      </c>
      <c r="R7" s="22">
        <v>14905</v>
      </c>
      <c r="S7" s="22">
        <v>14703</v>
      </c>
      <c r="T7" s="22">
        <v>13097</v>
      </c>
      <c r="U7" s="22">
        <v>10202</v>
      </c>
    </row>
    <row r="8" spans="1:21" ht="12.75">
      <c r="A8" s="252" t="s">
        <v>36</v>
      </c>
      <c r="B8" s="252"/>
      <c r="C8" s="262"/>
      <c r="D8" s="109"/>
      <c r="E8" s="116" t="s">
        <v>135</v>
      </c>
      <c r="F8" s="22">
        <v>12374</v>
      </c>
      <c r="G8" s="22">
        <v>14300</v>
      </c>
      <c r="H8" s="22">
        <v>12602</v>
      </c>
      <c r="I8" s="22">
        <v>8702</v>
      </c>
      <c r="J8" s="22">
        <v>5940</v>
      </c>
      <c r="K8" s="22">
        <v>7799</v>
      </c>
      <c r="L8" s="22">
        <v>6460</v>
      </c>
      <c r="M8" s="22">
        <v>9390</v>
      </c>
      <c r="N8" s="22">
        <v>13357</v>
      </c>
      <c r="O8" s="22">
        <v>12805</v>
      </c>
      <c r="P8" s="22">
        <v>7839</v>
      </c>
      <c r="Q8" s="22">
        <v>7403</v>
      </c>
      <c r="R8" s="22">
        <v>7232</v>
      </c>
      <c r="S8" s="22">
        <v>9835</v>
      </c>
      <c r="T8" s="22">
        <v>11199</v>
      </c>
      <c r="U8" s="22">
        <v>14011</v>
      </c>
    </row>
    <row r="9" spans="1:21" s="62" customFormat="1" ht="12.75">
      <c r="A9" s="264" t="s">
        <v>573</v>
      </c>
      <c r="B9" s="264" t="s">
        <v>285</v>
      </c>
      <c r="C9" s="262"/>
      <c r="D9" s="111"/>
      <c r="E9" s="112" t="s">
        <v>428</v>
      </c>
      <c r="F9" s="63">
        <f>+F7-F8</f>
        <v>10809</v>
      </c>
      <c r="G9" s="63">
        <f aca="true" t="shared" si="0" ref="G9:Q9">+G7-G8</f>
        <v>1398</v>
      </c>
      <c r="H9" s="63">
        <f t="shared" si="0"/>
        <v>-101</v>
      </c>
      <c r="I9" s="63">
        <f t="shared" si="0"/>
        <v>1141</v>
      </c>
      <c r="J9" s="63">
        <f t="shared" si="0"/>
        <v>2974</v>
      </c>
      <c r="K9" s="63">
        <f t="shared" si="0"/>
        <v>-304</v>
      </c>
      <c r="L9" s="63">
        <f t="shared" si="0"/>
        <v>4703</v>
      </c>
      <c r="M9" s="63">
        <f t="shared" si="0"/>
        <v>4556</v>
      </c>
      <c r="N9" s="63">
        <f t="shared" si="0"/>
        <v>665</v>
      </c>
      <c r="O9" s="63">
        <f t="shared" si="0"/>
        <v>-709</v>
      </c>
      <c r="P9" s="63">
        <f t="shared" si="0"/>
        <v>6367</v>
      </c>
      <c r="Q9" s="63">
        <f t="shared" si="0"/>
        <v>5685</v>
      </c>
      <c r="R9" s="63">
        <v>7673</v>
      </c>
      <c r="S9" s="63">
        <v>4868</v>
      </c>
      <c r="T9" s="63">
        <v>1898</v>
      </c>
      <c r="U9" s="63">
        <v>-3809</v>
      </c>
    </row>
    <row r="10" spans="1:21" ht="12.75">
      <c r="A10" s="252" t="s">
        <v>36</v>
      </c>
      <c r="B10" s="252"/>
      <c r="C10" s="262"/>
      <c r="D10" s="109"/>
      <c r="E10" s="94" t="s">
        <v>479</v>
      </c>
      <c r="F10" s="9" t="s">
        <v>30</v>
      </c>
      <c r="G10" s="9" t="s">
        <v>30</v>
      </c>
      <c r="H10" s="9" t="s">
        <v>30</v>
      </c>
      <c r="I10" s="9" t="s">
        <v>30</v>
      </c>
      <c r="J10" s="9" t="s">
        <v>30</v>
      </c>
      <c r="K10" s="9" t="s">
        <v>30</v>
      </c>
      <c r="L10" s="9" t="s">
        <v>30</v>
      </c>
      <c r="M10" s="9" t="s">
        <v>30</v>
      </c>
      <c r="N10" s="9" t="s">
        <v>30</v>
      </c>
      <c r="O10" s="9" t="s">
        <v>30</v>
      </c>
      <c r="P10" s="22">
        <v>3621</v>
      </c>
      <c r="Q10" s="22">
        <v>4479</v>
      </c>
      <c r="R10" s="22">
        <v>2980</v>
      </c>
      <c r="S10" s="22">
        <v>4763</v>
      </c>
      <c r="T10" s="22">
        <v>4509</v>
      </c>
      <c r="U10" s="22">
        <v>4169</v>
      </c>
    </row>
    <row r="11" spans="1:21" s="62" customFormat="1" ht="12.75">
      <c r="A11" s="264" t="s">
        <v>573</v>
      </c>
      <c r="B11" s="264" t="s">
        <v>39</v>
      </c>
      <c r="C11" s="264"/>
      <c r="D11" s="111"/>
      <c r="E11" s="112" t="s">
        <v>427</v>
      </c>
      <c r="F11" s="63">
        <v>10809</v>
      </c>
      <c r="G11" s="63">
        <v>1398</v>
      </c>
      <c r="H11" s="63">
        <v>-101</v>
      </c>
      <c r="I11" s="63">
        <v>1141</v>
      </c>
      <c r="J11" s="63">
        <v>2974</v>
      </c>
      <c r="K11" s="63">
        <v>-304</v>
      </c>
      <c r="L11" s="63">
        <v>4703</v>
      </c>
      <c r="M11" s="63">
        <v>4556</v>
      </c>
      <c r="N11" s="63">
        <v>665</v>
      </c>
      <c r="O11" s="63">
        <v>-709</v>
      </c>
      <c r="P11" s="63">
        <f>+P7+P10-P8</f>
        <v>9988</v>
      </c>
      <c r="Q11" s="63">
        <f>+Q7+Q10-Q8</f>
        <v>10164</v>
      </c>
      <c r="R11" s="63">
        <v>10653</v>
      </c>
      <c r="S11" s="63">
        <v>9631</v>
      </c>
      <c r="T11" s="63">
        <v>6407</v>
      </c>
      <c r="U11" s="63">
        <v>360</v>
      </c>
    </row>
    <row r="12" spans="1:21" ht="12.75">
      <c r="A12" s="252" t="s">
        <v>36</v>
      </c>
      <c r="B12" s="252" t="s">
        <v>39</v>
      </c>
      <c r="C12" s="252" t="s">
        <v>587</v>
      </c>
      <c r="E12" s="94" t="s">
        <v>260</v>
      </c>
      <c r="F12" s="118">
        <v>0.37</v>
      </c>
      <c r="G12" s="118">
        <v>0.05</v>
      </c>
      <c r="H12" s="118">
        <v>0</v>
      </c>
      <c r="I12" s="118">
        <v>0.05</v>
      </c>
      <c r="J12" s="118">
        <v>0.11</v>
      </c>
      <c r="K12" s="118">
        <v>-0.02304077611035319</v>
      </c>
      <c r="L12" s="60">
        <v>0.29</v>
      </c>
      <c r="M12" s="118">
        <v>0.28</v>
      </c>
      <c r="N12" s="118">
        <v>0.04</v>
      </c>
      <c r="O12" s="118">
        <v>-0.03</v>
      </c>
      <c r="P12" s="118">
        <v>0.57</v>
      </c>
      <c r="Q12" s="118">
        <v>0.65</v>
      </c>
      <c r="R12" s="118">
        <v>0.74</v>
      </c>
      <c r="S12" s="118">
        <v>0.5848311877580763</v>
      </c>
      <c r="T12" s="118">
        <v>0.42699100299900034</v>
      </c>
      <c r="U12" s="118">
        <v>0.02029541098207239</v>
      </c>
    </row>
  </sheetData>
  <sheetProtection/>
  <printOptions/>
  <pageMargins left="0.75" right="0.75" top="1" bottom="1" header="0.5" footer="0.5"/>
  <pageSetup fitToHeight="1" fitToWidth="1" horizontalDpi="600" verticalDpi="600" orientation="landscape" paperSize="9" scale="56" r:id="rId1"/>
</worksheet>
</file>

<file path=xl/worksheets/sheet29.xml><?xml version="1.0" encoding="utf-8"?>
<worksheet xmlns="http://schemas.openxmlformats.org/spreadsheetml/2006/main" xmlns:r="http://schemas.openxmlformats.org/officeDocument/2006/relationships">
  <sheetPr>
    <pageSetUpPr fitToPage="1"/>
  </sheetPr>
  <dimension ref="A1:X10"/>
  <sheetViews>
    <sheetView showZeros="0" zoomScaleSheetLayoutView="100" zoomScalePageLayoutView="0" workbookViewId="0" topLeftCell="A1">
      <selection activeCell="X7" sqref="X7"/>
    </sheetView>
  </sheetViews>
  <sheetFormatPr defaultColWidth="9.140625" defaultRowHeight="12.75"/>
  <cols>
    <col min="1" max="1" width="11.140625" style="252" bestFit="1" customWidth="1"/>
    <col min="2" max="2" width="12.140625" style="71" customWidth="1"/>
    <col min="3" max="3" width="11.140625" style="71" customWidth="1"/>
    <col min="4" max="4" width="26.421875" style="71" hidden="1" customWidth="1"/>
    <col min="5" max="5" width="30.8515625" style="71" customWidth="1"/>
    <col min="6" max="12" width="8.421875" style="70" hidden="1" customWidth="1"/>
    <col min="13" max="23" width="8.421875" style="70" customWidth="1"/>
    <col min="24" max="16384" width="9.140625" style="70" customWidth="1"/>
  </cols>
  <sheetData>
    <row r="1" spans="1:5" ht="17.25">
      <c r="A1" s="249">
        <v>42369</v>
      </c>
      <c r="B1" s="97" t="s">
        <v>141</v>
      </c>
      <c r="C1" s="98"/>
      <c r="D1" s="99" t="str">
        <f>Company</f>
        <v>AB Electrolux</v>
      </c>
      <c r="E1" s="99" t="str">
        <f>Company</f>
        <v>AB Electrolux</v>
      </c>
    </row>
    <row r="2" spans="1:5" ht="12.75">
      <c r="A2" s="250"/>
      <c r="B2" s="97" t="s">
        <v>143</v>
      </c>
      <c r="C2" s="98"/>
      <c r="D2" s="100">
        <f>A1</f>
        <v>42369</v>
      </c>
      <c r="E2" s="101">
        <f>+D2</f>
        <v>42369</v>
      </c>
    </row>
    <row r="3" spans="1:23" ht="12.75">
      <c r="A3" s="250"/>
      <c r="B3" s="97" t="s">
        <v>144</v>
      </c>
      <c r="C3" s="98" t="s">
        <v>145</v>
      </c>
      <c r="D3" s="102" t="s">
        <v>146</v>
      </c>
      <c r="E3" s="102" t="s">
        <v>147</v>
      </c>
      <c r="F3" s="73"/>
      <c r="G3" s="73"/>
      <c r="H3" s="73"/>
      <c r="I3" s="73"/>
      <c r="J3" s="73"/>
      <c r="K3" s="73"/>
      <c r="L3" s="73"/>
      <c r="M3" s="73"/>
      <c r="N3" s="73"/>
      <c r="O3" s="73"/>
      <c r="P3" s="73"/>
      <c r="Q3" s="73"/>
      <c r="R3" s="73"/>
      <c r="S3" s="73"/>
      <c r="T3" s="73"/>
      <c r="U3" s="73"/>
      <c r="V3" s="73"/>
      <c r="W3" s="73"/>
    </row>
    <row r="4" spans="1:5" ht="12.75">
      <c r="A4" s="252" t="s">
        <v>34</v>
      </c>
      <c r="B4" s="97" t="s">
        <v>148</v>
      </c>
      <c r="D4" s="62" t="s">
        <v>344</v>
      </c>
      <c r="E4" s="62" t="s">
        <v>101</v>
      </c>
    </row>
    <row r="5" spans="2:5" ht="12.75">
      <c r="B5" s="97" t="s">
        <v>150</v>
      </c>
      <c r="C5" s="98" t="s">
        <v>284</v>
      </c>
      <c r="D5" s="72"/>
      <c r="E5" s="62"/>
    </row>
    <row r="6" spans="1:24" s="227" customFormat="1" ht="12.75">
      <c r="A6" s="245" t="s">
        <v>35</v>
      </c>
      <c r="B6" s="113" t="s">
        <v>149</v>
      </c>
      <c r="C6" s="103" t="s">
        <v>284</v>
      </c>
      <c r="D6" s="138"/>
      <c r="E6" s="157"/>
      <c r="F6" s="126">
        <v>1998</v>
      </c>
      <c r="G6" s="126">
        <v>1999</v>
      </c>
      <c r="H6" s="126">
        <v>2000</v>
      </c>
      <c r="I6" s="126">
        <v>2001</v>
      </c>
      <c r="J6" s="126">
        <v>2002</v>
      </c>
      <c r="K6" s="126">
        <v>2003</v>
      </c>
      <c r="L6" s="126">
        <v>2004</v>
      </c>
      <c r="M6" s="126">
        <v>2005</v>
      </c>
      <c r="N6" s="126">
        <v>2006</v>
      </c>
      <c r="O6" s="126">
        <v>2007</v>
      </c>
      <c r="P6" s="126">
        <v>2008</v>
      </c>
      <c r="Q6" s="126">
        <v>2009</v>
      </c>
      <c r="R6" s="126">
        <v>2010</v>
      </c>
      <c r="S6" s="126">
        <v>2011</v>
      </c>
      <c r="T6" s="126">
        <v>2012</v>
      </c>
      <c r="U6" s="126">
        <v>2013</v>
      </c>
      <c r="V6" s="126">
        <v>2014</v>
      </c>
      <c r="W6" s="126">
        <v>2015</v>
      </c>
      <c r="X6" s="126">
        <v>2016</v>
      </c>
    </row>
    <row r="7" spans="1:24" ht="12.75">
      <c r="A7" s="252" t="s">
        <v>36</v>
      </c>
      <c r="B7" s="252"/>
      <c r="C7" s="252"/>
      <c r="E7" s="70" t="s">
        <v>101</v>
      </c>
      <c r="F7" s="22">
        <v>915</v>
      </c>
      <c r="G7" s="22">
        <v>1099</v>
      </c>
      <c r="H7" s="22">
        <v>1282</v>
      </c>
      <c r="I7" s="22">
        <v>1365</v>
      </c>
      <c r="J7" s="22">
        <v>1483</v>
      </c>
      <c r="K7" s="22">
        <v>1894</v>
      </c>
      <c r="L7" s="22">
        <v>1993</v>
      </c>
      <c r="M7" s="22">
        <v>2038</v>
      </c>
      <c r="N7" s="22">
        <v>2222</v>
      </c>
      <c r="O7" s="22">
        <v>1126</v>
      </c>
      <c r="P7" s="22">
        <v>1204</v>
      </c>
      <c r="Q7" s="9" t="s">
        <v>30</v>
      </c>
      <c r="R7" s="22">
        <v>1138</v>
      </c>
      <c r="S7" s="22">
        <v>1850</v>
      </c>
      <c r="T7" s="22">
        <v>1860</v>
      </c>
      <c r="U7" s="22">
        <v>1860</v>
      </c>
      <c r="V7" s="22">
        <v>1861</v>
      </c>
      <c r="W7" s="22">
        <v>1868</v>
      </c>
      <c r="X7" s="22">
        <v>1868</v>
      </c>
    </row>
    <row r="8" spans="1:24" ht="12.75">
      <c r="A8" s="252" t="s">
        <v>36</v>
      </c>
      <c r="B8" s="252"/>
      <c r="C8" s="252"/>
      <c r="E8" s="70" t="s">
        <v>288</v>
      </c>
      <c r="F8" s="9" t="s">
        <v>30</v>
      </c>
      <c r="G8" s="9" t="s">
        <v>30</v>
      </c>
      <c r="H8" s="22">
        <v>3193</v>
      </c>
      <c r="I8" s="22">
        <v>1752</v>
      </c>
      <c r="J8" s="22">
        <v>1703</v>
      </c>
      <c r="K8" s="22">
        <v>1688</v>
      </c>
      <c r="L8" s="22">
        <v>114</v>
      </c>
      <c r="M8" s="9" t="s">
        <v>30</v>
      </c>
      <c r="N8" s="22">
        <v>2194</v>
      </c>
      <c r="O8" s="9" t="s">
        <v>30</v>
      </c>
      <c r="P8" s="9" t="s">
        <v>30</v>
      </c>
      <c r="Q8" s="9" t="s">
        <v>30</v>
      </c>
      <c r="R8" s="9" t="s">
        <v>30</v>
      </c>
      <c r="S8" s="9" t="s">
        <v>30</v>
      </c>
      <c r="T8" s="9" t="s">
        <v>30</v>
      </c>
      <c r="U8" s="9" t="s">
        <v>30</v>
      </c>
      <c r="V8" s="9" t="s">
        <v>30</v>
      </c>
      <c r="W8" s="9" t="s">
        <v>30</v>
      </c>
      <c r="X8" s="9" t="s">
        <v>30</v>
      </c>
    </row>
    <row r="9" spans="1:24" ht="12.75">
      <c r="A9" s="252" t="s">
        <v>36</v>
      </c>
      <c r="B9" s="252"/>
      <c r="C9" s="276"/>
      <c r="D9" s="74"/>
      <c r="E9" s="70" t="s">
        <v>276</v>
      </c>
      <c r="F9" s="9" t="s">
        <v>30</v>
      </c>
      <c r="G9" s="9" t="s">
        <v>30</v>
      </c>
      <c r="H9" s="9" t="s">
        <v>30</v>
      </c>
      <c r="I9" s="9" t="s">
        <v>30</v>
      </c>
      <c r="J9" s="9" t="s">
        <v>30</v>
      </c>
      <c r="K9" s="9" t="s">
        <v>30</v>
      </c>
      <c r="L9" s="22">
        <v>3036</v>
      </c>
      <c r="M9" s="9" t="s">
        <v>30</v>
      </c>
      <c r="N9" s="9" t="s">
        <v>30</v>
      </c>
      <c r="O9" s="22">
        <v>5579</v>
      </c>
      <c r="P9" s="9" t="s">
        <v>30</v>
      </c>
      <c r="Q9" s="9" t="s">
        <v>30</v>
      </c>
      <c r="R9" s="9" t="s">
        <v>30</v>
      </c>
      <c r="S9" s="9" t="s">
        <v>30</v>
      </c>
      <c r="T9" s="9" t="s">
        <v>30</v>
      </c>
      <c r="U9" s="9" t="s">
        <v>30</v>
      </c>
      <c r="V9" s="9" t="s">
        <v>30</v>
      </c>
      <c r="W9" s="9" t="s">
        <v>30</v>
      </c>
      <c r="X9" s="9" t="s">
        <v>30</v>
      </c>
    </row>
    <row r="10" spans="1:24" ht="12.75">
      <c r="A10" s="252" t="s">
        <v>27</v>
      </c>
      <c r="B10" s="252"/>
      <c r="C10" s="252"/>
      <c r="E10" s="62" t="s">
        <v>275</v>
      </c>
      <c r="F10" s="63">
        <f aca="true" t="shared" si="0" ref="F10:R10">SUM(F7:F9)</f>
        <v>915</v>
      </c>
      <c r="G10" s="63">
        <f t="shared" si="0"/>
        <v>1099</v>
      </c>
      <c r="H10" s="63">
        <f t="shared" si="0"/>
        <v>4475</v>
      </c>
      <c r="I10" s="63">
        <f t="shared" si="0"/>
        <v>3117</v>
      </c>
      <c r="J10" s="63">
        <f t="shared" si="0"/>
        <v>3186</v>
      </c>
      <c r="K10" s="63">
        <f t="shared" si="0"/>
        <v>3582</v>
      </c>
      <c r="L10" s="63">
        <f t="shared" si="0"/>
        <v>5143</v>
      </c>
      <c r="M10" s="63">
        <f t="shared" si="0"/>
        <v>2038</v>
      </c>
      <c r="N10" s="63">
        <f t="shared" si="0"/>
        <v>4416</v>
      </c>
      <c r="O10" s="63">
        <f t="shared" si="0"/>
        <v>6705</v>
      </c>
      <c r="P10" s="63">
        <f t="shared" si="0"/>
        <v>1204</v>
      </c>
      <c r="Q10" s="9" t="s">
        <v>30</v>
      </c>
      <c r="R10" s="63">
        <f t="shared" si="0"/>
        <v>1138</v>
      </c>
      <c r="S10" s="63">
        <f aca="true" t="shared" si="1" ref="S10:X10">SUM(S7:S9)</f>
        <v>1850</v>
      </c>
      <c r="T10" s="63">
        <f t="shared" si="1"/>
        <v>1860</v>
      </c>
      <c r="U10" s="63">
        <f t="shared" si="1"/>
        <v>1860</v>
      </c>
      <c r="V10" s="63">
        <f t="shared" si="1"/>
        <v>1861</v>
      </c>
      <c r="W10" s="63">
        <f t="shared" si="1"/>
        <v>1868</v>
      </c>
      <c r="X10" s="63">
        <f t="shared" si="1"/>
        <v>1868</v>
      </c>
    </row>
  </sheetData>
  <sheetProtection/>
  <printOptions/>
  <pageMargins left="0.75" right="0.75" top="1" bottom="1" header="0.5" footer="0.5"/>
  <pageSetup fitToHeight="1" fitToWidth="1" horizontalDpi="600" verticalDpi="600" orientation="landscape" paperSize="9" scale="61" r:id="rId1"/>
  <ignoredErrors>
    <ignoredError sqref="F10:P10 R10:W1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S18"/>
  <sheetViews>
    <sheetView zoomScaleSheetLayoutView="120" zoomScalePageLayoutView="0" workbookViewId="0" topLeftCell="A1">
      <selection activeCell="A1" sqref="A1"/>
    </sheetView>
  </sheetViews>
  <sheetFormatPr defaultColWidth="9.140625" defaultRowHeight="12.75"/>
  <cols>
    <col min="1" max="1" width="12.00390625" style="40" bestFit="1" customWidth="1"/>
    <col min="2" max="2" width="12.140625" style="40" customWidth="1"/>
    <col min="3" max="3" width="11.140625" style="40" customWidth="1"/>
    <col min="4" max="4" width="27.57421875" style="40" hidden="1" customWidth="1"/>
    <col min="5" max="5" width="30.8515625" style="40" customWidth="1"/>
    <col min="6" max="15" width="11.00390625" style="40" hidden="1" customWidth="1"/>
    <col min="16" max="17" width="9.140625" style="40" hidden="1" customWidth="1"/>
    <col min="18" max="18" width="10.57421875" style="40" hidden="1" customWidth="1"/>
    <col min="19" max="21" width="11.140625" style="40" hidden="1" customWidth="1"/>
    <col min="22" max="25" width="9.140625" style="40" hidden="1" customWidth="1"/>
    <col min="26" max="26" width="9.28125" style="40" hidden="1" customWidth="1"/>
    <col min="27" max="27" width="9.140625" style="40" hidden="1" customWidth="1"/>
    <col min="28" max="28" width="9.7109375" style="40" hidden="1" customWidth="1"/>
    <col min="29" max="29" width="10.7109375" style="40" hidden="1" customWidth="1"/>
    <col min="30" max="33" width="9.140625" style="40" hidden="1" customWidth="1"/>
    <col min="34" max="38" width="0" style="40" hidden="1" customWidth="1"/>
    <col min="39"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A1</f>
        <v>42735</v>
      </c>
    </row>
    <row r="3" spans="1:5" ht="12.75">
      <c r="A3" s="250"/>
      <c r="B3" s="97" t="s">
        <v>144</v>
      </c>
      <c r="C3" s="98" t="s">
        <v>145</v>
      </c>
      <c r="D3" s="102" t="s">
        <v>146</v>
      </c>
      <c r="E3" s="102" t="s">
        <v>147</v>
      </c>
    </row>
    <row r="4" spans="1:5" ht="12.75">
      <c r="A4" s="240" t="s">
        <v>34</v>
      </c>
      <c r="B4" s="97" t="s">
        <v>148</v>
      </c>
      <c r="D4" s="34" t="s">
        <v>332</v>
      </c>
      <c r="E4" s="90" t="s">
        <v>332</v>
      </c>
    </row>
    <row r="5" spans="1:5" ht="12.75">
      <c r="A5" s="240"/>
      <c r="B5" s="97" t="s">
        <v>150</v>
      </c>
      <c r="C5" s="98"/>
      <c r="D5" s="34"/>
      <c r="E5" s="34"/>
    </row>
    <row r="6" spans="1:45" s="41" customFormat="1" ht="12.75">
      <c r="A6" s="245" t="s">
        <v>35</v>
      </c>
      <c r="B6" s="113" t="s">
        <v>149</v>
      </c>
      <c r="C6" s="103"/>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row>
    <row r="7" spans="1:5" s="33" customFormat="1" ht="12.75">
      <c r="A7" s="238" t="s">
        <v>571</v>
      </c>
      <c r="B7" s="238"/>
      <c r="C7" s="238" t="s">
        <v>530</v>
      </c>
      <c r="E7" s="33" t="s">
        <v>541</v>
      </c>
    </row>
    <row r="8" spans="1:45" ht="12.75">
      <c r="A8" s="240" t="s">
        <v>36</v>
      </c>
      <c r="B8" s="240"/>
      <c r="C8" s="240" t="s">
        <v>530</v>
      </c>
      <c r="E8" s="94" t="s">
        <v>542</v>
      </c>
      <c r="F8" s="15">
        <v>7.5</v>
      </c>
      <c r="G8" s="15">
        <v>4.8</v>
      </c>
      <c r="H8" s="15">
        <v>3.7</v>
      </c>
      <c r="I8" s="15">
        <v>0.3</v>
      </c>
      <c r="J8" s="15">
        <v>-0.7</v>
      </c>
      <c r="K8" s="15">
        <v>2.4</v>
      </c>
      <c r="L8" s="15">
        <v>1.6</v>
      </c>
      <c r="M8" s="15">
        <v>-5.5</v>
      </c>
      <c r="N8" s="15">
        <v>-8.4</v>
      </c>
      <c r="O8" s="15">
        <v>-8.4</v>
      </c>
      <c r="P8" s="15">
        <v>-3</v>
      </c>
      <c r="Q8" s="15">
        <v>-0.6</v>
      </c>
      <c r="R8" s="15">
        <v>4.1</v>
      </c>
      <c r="S8" s="15">
        <v>2.8</v>
      </c>
      <c r="T8" s="15">
        <v>-2.3</v>
      </c>
      <c r="U8" s="15">
        <v>1.6</v>
      </c>
      <c r="V8" s="15">
        <v>0.9</v>
      </c>
      <c r="W8" s="15">
        <v>-1.6</v>
      </c>
      <c r="X8" s="15">
        <v>1.5</v>
      </c>
      <c r="Y8" s="15">
        <v>0</v>
      </c>
      <c r="Z8" s="15">
        <v>3.5</v>
      </c>
      <c r="AA8" s="15">
        <v>3.5939941183779975</v>
      </c>
      <c r="AB8" s="15">
        <v>4.6</v>
      </c>
      <c r="AC8" s="15">
        <v>7.5</v>
      </c>
      <c r="AD8" s="15">
        <v>3.8</v>
      </c>
      <c r="AE8" s="15">
        <v>5.9</v>
      </c>
      <c r="AF8" s="15">
        <v>4.9</v>
      </c>
      <c r="AG8" s="15">
        <v>3.6</v>
      </c>
      <c r="AH8" s="15">
        <v>4.5</v>
      </c>
      <c r="AI8" s="15">
        <v>-3.8</v>
      </c>
      <c r="AJ8" s="15">
        <v>1.6</v>
      </c>
      <c r="AK8" s="15">
        <v>2</v>
      </c>
      <c r="AL8" s="15">
        <v>-0.5</v>
      </c>
      <c r="AM8" s="15">
        <v>7</v>
      </c>
      <c r="AN8" s="15">
        <v>2.1</v>
      </c>
      <c r="AO8" s="15">
        <v>0.19999999999999998</v>
      </c>
      <c r="AP8" s="15">
        <v>1.7999999999999998</v>
      </c>
      <c r="AQ8" s="15">
        <v>-0.9</v>
      </c>
      <c r="AR8" s="15">
        <v>-1.6</v>
      </c>
      <c r="AS8" s="15">
        <v>-3</v>
      </c>
    </row>
    <row r="9" spans="1:45" ht="12.75">
      <c r="A9" s="240" t="s">
        <v>36</v>
      </c>
      <c r="B9" s="240"/>
      <c r="C9" s="240" t="s">
        <v>530</v>
      </c>
      <c r="E9" s="94" t="s">
        <v>543</v>
      </c>
      <c r="F9" s="15">
        <v>0</v>
      </c>
      <c r="G9" s="15">
        <v>0</v>
      </c>
      <c r="H9" s="15">
        <v>0</v>
      </c>
      <c r="I9" s="15">
        <v>0</v>
      </c>
      <c r="J9" s="15">
        <v>0</v>
      </c>
      <c r="K9" s="15">
        <v>0</v>
      </c>
      <c r="L9" s="15">
        <v>0</v>
      </c>
      <c r="M9" s="15">
        <v>0</v>
      </c>
      <c r="N9" s="15">
        <v>0</v>
      </c>
      <c r="O9" s="15">
        <v>0</v>
      </c>
      <c r="P9" s="15">
        <v>0</v>
      </c>
      <c r="Q9" s="15">
        <v>0</v>
      </c>
      <c r="R9" s="15">
        <v>0</v>
      </c>
      <c r="S9" s="15">
        <v>0</v>
      </c>
      <c r="T9" s="15">
        <v>0</v>
      </c>
      <c r="U9" s="15">
        <v>0</v>
      </c>
      <c r="V9" s="15">
        <v>0</v>
      </c>
      <c r="W9" s="15">
        <v>0</v>
      </c>
      <c r="X9" s="15">
        <v>0.7</v>
      </c>
      <c r="Y9" s="15">
        <v>5.7</v>
      </c>
      <c r="Z9" s="15">
        <v>5.8</v>
      </c>
      <c r="AA9" s="15">
        <v>5.6</v>
      </c>
      <c r="AB9" s="15">
        <v>5.1</v>
      </c>
      <c r="AC9" s="15">
        <v>0</v>
      </c>
      <c r="AD9" s="15">
        <v>0</v>
      </c>
      <c r="AE9" s="15">
        <v>0</v>
      </c>
      <c r="AF9" s="15">
        <v>0</v>
      </c>
      <c r="AG9" s="15">
        <v>0</v>
      </c>
      <c r="AH9" s="15">
        <v>0</v>
      </c>
      <c r="AI9" s="15">
        <v>0</v>
      </c>
      <c r="AJ9" s="15">
        <v>0</v>
      </c>
      <c r="AK9" s="15">
        <v>0.2</v>
      </c>
      <c r="AL9" s="15">
        <v>0.1</v>
      </c>
      <c r="AM9" s="15">
        <v>0.1</v>
      </c>
      <c r="AN9" s="15">
        <v>0.3</v>
      </c>
      <c r="AO9" s="15">
        <v>0.1</v>
      </c>
      <c r="AP9" s="15">
        <v>0.1</v>
      </c>
      <c r="AQ9" s="15">
        <v>0.1</v>
      </c>
      <c r="AR9" s="15">
        <v>0</v>
      </c>
      <c r="AS9" s="15">
        <v>0.2</v>
      </c>
    </row>
    <row r="10" spans="1:45" ht="12.75">
      <c r="A10" s="240" t="s">
        <v>36</v>
      </c>
      <c r="B10" s="240"/>
      <c r="C10" s="240" t="s">
        <v>530</v>
      </c>
      <c r="E10" s="116" t="s">
        <v>544</v>
      </c>
      <c r="F10" s="10">
        <v>-6</v>
      </c>
      <c r="G10" s="10">
        <v>-3</v>
      </c>
      <c r="H10" s="10">
        <v>-2.6</v>
      </c>
      <c r="I10" s="10">
        <v>-1.2</v>
      </c>
      <c r="J10" s="10">
        <v>-2.3</v>
      </c>
      <c r="K10" s="10">
        <v>-3.2</v>
      </c>
      <c r="L10" s="10">
        <v>-1.7</v>
      </c>
      <c r="M10" s="10">
        <v>9.2</v>
      </c>
      <c r="N10" s="10">
        <v>15.1</v>
      </c>
      <c r="O10" s="10">
        <v>15.8</v>
      </c>
      <c r="P10" s="10">
        <v>7.812326843523474</v>
      </c>
      <c r="Q10" s="10">
        <v>-0.962990615078673</v>
      </c>
      <c r="R10" s="10">
        <v>-6.753187698504918</v>
      </c>
      <c r="S10" s="10">
        <v>-3.4</v>
      </c>
      <c r="T10" s="10">
        <v>-2.3746569142195026</v>
      </c>
      <c r="U10" s="10">
        <v>-3.9356370724791776</v>
      </c>
      <c r="V10" s="10">
        <v>-7.652078940038993</v>
      </c>
      <c r="W10" s="10">
        <v>-9.999721723847534</v>
      </c>
      <c r="X10" s="10">
        <v>-4.767803692167439</v>
      </c>
      <c r="Y10" s="10">
        <v>-2.7496443605748295</v>
      </c>
      <c r="Z10" s="10">
        <v>1.1</v>
      </c>
      <c r="AA10" s="10">
        <v>5.800000000000001</v>
      </c>
      <c r="AB10" s="10">
        <v>-3.7701754385964907</v>
      </c>
      <c r="AC10" s="10">
        <v>-4.62362085374881</v>
      </c>
      <c r="AD10" s="10">
        <v>-5.9</v>
      </c>
      <c r="AE10" s="10">
        <v>-6.220570543529158</v>
      </c>
      <c r="AF10" s="10">
        <v>-4.579805675168378</v>
      </c>
      <c r="AG10" s="10">
        <v>-4.607366798012678</v>
      </c>
      <c r="AH10" s="10">
        <v>-3.3</v>
      </c>
      <c r="AI10" s="10">
        <v>-1.0565440485654412</v>
      </c>
      <c r="AJ10" s="10">
        <v>3.9983564458140726</v>
      </c>
      <c r="AK10" s="10">
        <v>6.484365373299644</v>
      </c>
      <c r="AL10" s="10">
        <v>13.89252799562995</v>
      </c>
      <c r="AM10" s="10">
        <v>11.984694265096845</v>
      </c>
      <c r="AN10" s="10">
        <v>6.3</v>
      </c>
      <c r="AO10" s="10">
        <v>0.9547770700636942</v>
      </c>
      <c r="AP10" s="10">
        <v>-5.245137002784749</v>
      </c>
      <c r="AQ10" s="10">
        <v>-3.575697655876256</v>
      </c>
      <c r="AR10" s="10">
        <v>0.24748201438848927</v>
      </c>
      <c r="AS10" s="10">
        <v>3.900836635843241</v>
      </c>
    </row>
    <row r="11" spans="1:45" ht="12.75">
      <c r="A11" s="240" t="s">
        <v>37</v>
      </c>
      <c r="B11" s="252"/>
      <c r="C11" s="240" t="s">
        <v>530</v>
      </c>
      <c r="E11" s="112" t="s">
        <v>545</v>
      </c>
      <c r="F11" s="16">
        <v>1.5</v>
      </c>
      <c r="G11" s="16">
        <v>1.8</v>
      </c>
      <c r="H11" s="16">
        <v>1.1</v>
      </c>
      <c r="I11" s="16">
        <v>-0.9</v>
      </c>
      <c r="J11" s="16">
        <v>-3</v>
      </c>
      <c r="K11" s="16">
        <v>-0.8</v>
      </c>
      <c r="L11" s="16">
        <v>-0.09999999999999987</v>
      </c>
      <c r="M11" s="16">
        <v>3.7</v>
      </c>
      <c r="N11" s="16">
        <v>6.7</v>
      </c>
      <c r="O11" s="16">
        <v>7.4</v>
      </c>
      <c r="P11" s="16">
        <v>4.812326843523474</v>
      </c>
      <c r="Q11" s="16">
        <v>-1.562990615078673</v>
      </c>
      <c r="R11" s="16">
        <v>-2.653187698504919</v>
      </c>
      <c r="S11" s="16">
        <v>-0.6222254566625428</v>
      </c>
      <c r="T11" s="16">
        <v>-4.6746569142195025</v>
      </c>
      <c r="U11" s="16">
        <v>-2.3356370724791775</v>
      </c>
      <c r="V11" s="16">
        <v>-6.7520789400389924</v>
      </c>
      <c r="W11" s="16">
        <v>-11.599721723847534</v>
      </c>
      <c r="X11" s="16">
        <v>-2.567803692167439</v>
      </c>
      <c r="Y11" s="16">
        <v>2.9503556394251707</v>
      </c>
      <c r="Z11" s="16">
        <v>10.4</v>
      </c>
      <c r="AA11" s="16">
        <v>14.993994118377998</v>
      </c>
      <c r="AB11" s="16">
        <v>5.9298245614035086</v>
      </c>
      <c r="AC11" s="16">
        <v>2.87637914625119</v>
      </c>
      <c r="AD11" s="16">
        <v>-2.1</v>
      </c>
      <c r="AE11" s="16">
        <v>-0.3205705435291575</v>
      </c>
      <c r="AF11" s="16">
        <v>0.32019432483162197</v>
      </c>
      <c r="AG11" s="16">
        <v>-1.0073667980126777</v>
      </c>
      <c r="AH11" s="16">
        <v>1.2</v>
      </c>
      <c r="AI11" s="16">
        <v>-4.856544048565441</v>
      </c>
      <c r="AJ11" s="16">
        <v>5.598356445814073</v>
      </c>
      <c r="AK11" s="16">
        <v>8.684365373299643</v>
      </c>
      <c r="AL11" s="16">
        <v>13.492527995629949</v>
      </c>
      <c r="AM11" s="16">
        <v>19.084694265096847</v>
      </c>
      <c r="AN11" s="16">
        <v>8.7</v>
      </c>
      <c r="AO11" s="16">
        <v>1.3</v>
      </c>
      <c r="AP11" s="16">
        <v>-3.345137002784749</v>
      </c>
      <c r="AQ11" s="16">
        <v>-4.375697655876256</v>
      </c>
      <c r="AR11" s="16">
        <v>-1.3525179856115108</v>
      </c>
      <c r="AS11" s="16">
        <v>1.1008366358432409</v>
      </c>
    </row>
    <row r="12" spans="1:21" ht="12.75">
      <c r="A12" s="240" t="s">
        <v>38</v>
      </c>
      <c r="B12" s="251"/>
      <c r="C12" s="240"/>
      <c r="E12" s="94"/>
      <c r="F12" s="9"/>
      <c r="G12" s="9"/>
      <c r="H12" s="9"/>
      <c r="I12" s="9"/>
      <c r="J12" s="9"/>
      <c r="K12" s="9"/>
      <c r="L12" s="9"/>
      <c r="M12" s="9"/>
      <c r="N12" s="9"/>
      <c r="O12" s="9"/>
      <c r="P12" s="9"/>
      <c r="Q12" s="9"/>
      <c r="R12" s="9"/>
      <c r="S12" s="9"/>
      <c r="T12" s="9"/>
      <c r="U12" s="9"/>
    </row>
    <row r="13" spans="1:45" s="41" customFormat="1" ht="12.75">
      <c r="A13" s="245" t="s">
        <v>35</v>
      </c>
      <c r="B13" s="245"/>
      <c r="C13" s="245"/>
      <c r="E13" s="154" t="s">
        <v>33</v>
      </c>
      <c r="F13" s="155" t="s">
        <v>0</v>
      </c>
      <c r="G13" s="155" t="s">
        <v>1</v>
      </c>
      <c r="H13" s="155" t="s">
        <v>2</v>
      </c>
      <c r="I13" s="155" t="s">
        <v>3</v>
      </c>
      <c r="J13" s="155" t="s">
        <v>4</v>
      </c>
      <c r="K13" s="155" t="s">
        <v>5</v>
      </c>
      <c r="L13" s="155" t="s">
        <v>6</v>
      </c>
      <c r="M13" s="155" t="s">
        <v>7</v>
      </c>
      <c r="N13" s="155" t="s">
        <v>8</v>
      </c>
      <c r="O13" s="155" t="s">
        <v>9</v>
      </c>
      <c r="P13" s="155" t="s">
        <v>338</v>
      </c>
      <c r="Q13" s="155" t="s">
        <v>355</v>
      </c>
      <c r="R13" s="155" t="s">
        <v>362</v>
      </c>
      <c r="S13" s="155" t="s">
        <v>367</v>
      </c>
      <c r="T13" s="155" t="s">
        <v>371</v>
      </c>
      <c r="U13" s="155" t="s">
        <v>372</v>
      </c>
      <c r="V13" s="155" t="s">
        <v>378</v>
      </c>
      <c r="W13" s="155" t="s">
        <v>397</v>
      </c>
      <c r="X13" s="155" t="s">
        <v>398</v>
      </c>
      <c r="Y13" s="87" t="s">
        <v>400</v>
      </c>
      <c r="Z13" s="87" t="s">
        <v>405</v>
      </c>
      <c r="AA13" s="87" t="s">
        <v>409</v>
      </c>
      <c r="AB13" s="87" t="s">
        <v>411</v>
      </c>
      <c r="AC13" s="87" t="s">
        <v>414</v>
      </c>
      <c r="AD13" s="87" t="s">
        <v>421</v>
      </c>
      <c r="AE13" s="87" t="s">
        <v>429</v>
      </c>
      <c r="AF13" s="87" t="s">
        <v>431</v>
      </c>
      <c r="AG13" s="87" t="s">
        <v>432</v>
      </c>
      <c r="AH13" s="87" t="s">
        <v>440</v>
      </c>
      <c r="AI13" s="87" t="s">
        <v>441</v>
      </c>
      <c r="AJ13" s="87" t="s">
        <v>442</v>
      </c>
      <c r="AK13" s="87" t="s">
        <v>443</v>
      </c>
      <c r="AL13" s="87" t="s">
        <v>445</v>
      </c>
      <c r="AM13" s="87" t="s">
        <v>447</v>
      </c>
      <c r="AN13" s="87" t="s">
        <v>448</v>
      </c>
      <c r="AO13" s="87" t="s">
        <v>467</v>
      </c>
      <c r="AP13" s="87" t="s">
        <v>469</v>
      </c>
      <c r="AQ13" s="87" t="s">
        <v>471</v>
      </c>
      <c r="AR13" s="87" t="s">
        <v>605</v>
      </c>
      <c r="AS13" s="87" t="s">
        <v>608</v>
      </c>
    </row>
    <row r="14" spans="1:5" s="33" customFormat="1" ht="12.75">
      <c r="A14" s="238" t="s">
        <v>571</v>
      </c>
      <c r="B14" s="238"/>
      <c r="C14" s="238" t="s">
        <v>530</v>
      </c>
      <c r="E14" s="33" t="s">
        <v>541</v>
      </c>
    </row>
    <row r="15" spans="1:45" ht="12.75">
      <c r="A15" s="240" t="s">
        <v>36</v>
      </c>
      <c r="B15" s="240"/>
      <c r="C15" s="240" t="s">
        <v>530</v>
      </c>
      <c r="E15" s="94" t="s">
        <v>542</v>
      </c>
      <c r="F15" s="15">
        <v>7.5</v>
      </c>
      <c r="G15" s="15">
        <v>6.1</v>
      </c>
      <c r="H15" s="15">
        <v>5.4</v>
      </c>
      <c r="I15" s="15">
        <v>4</v>
      </c>
      <c r="J15" s="15">
        <v>-0.7</v>
      </c>
      <c r="K15" s="15">
        <v>1.1</v>
      </c>
      <c r="L15" s="15">
        <v>0.8</v>
      </c>
      <c r="M15" s="15">
        <v>-0.9</v>
      </c>
      <c r="N15" s="15">
        <v>-8.4</v>
      </c>
      <c r="O15" s="15">
        <v>-8</v>
      </c>
      <c r="P15" s="15">
        <v>-6.2</v>
      </c>
      <c r="Q15" s="15">
        <v>-4.8</v>
      </c>
      <c r="R15" s="15">
        <v>4.1</v>
      </c>
      <c r="S15" s="15">
        <v>3.5</v>
      </c>
      <c r="T15" s="15">
        <v>1.5</v>
      </c>
      <c r="U15" s="15">
        <v>1.5</v>
      </c>
      <c r="V15" s="15">
        <v>0.9</v>
      </c>
      <c r="W15" s="15">
        <v>-0.4</v>
      </c>
      <c r="X15" s="15">
        <v>0.2</v>
      </c>
      <c r="Y15" s="15">
        <v>0.2</v>
      </c>
      <c r="Z15" s="15">
        <v>3.5</v>
      </c>
      <c r="AA15" s="15">
        <v>2.334609806847558</v>
      </c>
      <c r="AB15" s="15">
        <v>4.6</v>
      </c>
      <c r="AC15" s="15">
        <v>5.5</v>
      </c>
      <c r="AD15" s="15">
        <v>3.8</v>
      </c>
      <c r="AE15" s="15">
        <v>4.9</v>
      </c>
      <c r="AF15" s="15">
        <v>4.9</v>
      </c>
      <c r="AG15" s="15">
        <v>4.5</v>
      </c>
      <c r="AH15" s="15">
        <v>4.5</v>
      </c>
      <c r="AI15" s="15">
        <v>0.2</v>
      </c>
      <c r="AJ15" s="15">
        <v>0.7</v>
      </c>
      <c r="AK15" s="15">
        <v>1.1</v>
      </c>
      <c r="AL15" s="15">
        <v>-0.5</v>
      </c>
      <c r="AM15" s="15">
        <v>3.1999999999999997</v>
      </c>
      <c r="AN15" s="15">
        <v>2.9</v>
      </c>
      <c r="AO15" s="15">
        <v>2.1999999999999997</v>
      </c>
      <c r="AP15" s="15">
        <v>1.7999999999999998</v>
      </c>
      <c r="AQ15" s="15">
        <v>0.30000000000000004</v>
      </c>
      <c r="AR15" s="15">
        <v>-0.4</v>
      </c>
      <c r="AS15" s="15">
        <v>-1.1</v>
      </c>
    </row>
    <row r="16" spans="1:45" ht="12.75">
      <c r="A16" s="240" t="s">
        <v>36</v>
      </c>
      <c r="B16" s="240"/>
      <c r="C16" s="240" t="s">
        <v>530</v>
      </c>
      <c r="E16" s="94" t="s">
        <v>543</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0.3</v>
      </c>
      <c r="Y16" s="15">
        <v>1.7</v>
      </c>
      <c r="Z16" s="15">
        <v>5.8</v>
      </c>
      <c r="AA16" s="15">
        <v>5.7</v>
      </c>
      <c r="AB16" s="15">
        <v>5.5</v>
      </c>
      <c r="AC16" s="15">
        <v>3.9000000000000004</v>
      </c>
      <c r="AD16" s="15">
        <v>0</v>
      </c>
      <c r="AE16" s="15">
        <v>0</v>
      </c>
      <c r="AF16" s="15">
        <v>0</v>
      </c>
      <c r="AG16" s="15">
        <v>0</v>
      </c>
      <c r="AH16" s="15">
        <v>0</v>
      </c>
      <c r="AI16" s="15">
        <v>0</v>
      </c>
      <c r="AJ16" s="15">
        <v>0</v>
      </c>
      <c r="AK16" s="15">
        <v>0</v>
      </c>
      <c r="AL16" s="15">
        <v>0.1</v>
      </c>
      <c r="AM16" s="15">
        <v>0.1</v>
      </c>
      <c r="AN16" s="15">
        <v>0.1</v>
      </c>
      <c r="AO16" s="15">
        <v>0.1</v>
      </c>
      <c r="AP16" s="15">
        <v>0.1</v>
      </c>
      <c r="AQ16" s="15">
        <v>0.1</v>
      </c>
      <c r="AR16" s="15">
        <v>0.1</v>
      </c>
      <c r="AS16" s="15">
        <v>0.1</v>
      </c>
    </row>
    <row r="17" spans="1:45" ht="12.75">
      <c r="A17" s="240" t="s">
        <v>36</v>
      </c>
      <c r="B17" s="240"/>
      <c r="C17" s="240" t="s">
        <v>530</v>
      </c>
      <c r="E17" s="116" t="s">
        <v>544</v>
      </c>
      <c r="F17" s="10">
        <v>-6</v>
      </c>
      <c r="G17" s="10">
        <v>-4.4</v>
      </c>
      <c r="H17" s="10">
        <v>-3.9</v>
      </c>
      <c r="I17" s="10">
        <v>-3.1</v>
      </c>
      <c r="J17" s="10">
        <v>-2.3</v>
      </c>
      <c r="K17" s="10">
        <v>-2.9</v>
      </c>
      <c r="L17" s="10">
        <v>-2</v>
      </c>
      <c r="M17" s="10">
        <v>1</v>
      </c>
      <c r="N17" s="10">
        <v>15.1</v>
      </c>
      <c r="O17" s="10">
        <v>15.1</v>
      </c>
      <c r="P17" s="10">
        <v>12.489324698866398</v>
      </c>
      <c r="Q17" s="10">
        <v>8.94153752194824</v>
      </c>
      <c r="R17" s="10">
        <v>-6.753187698504918</v>
      </c>
      <c r="S17" s="10">
        <v>-5.106003752345216</v>
      </c>
      <c r="T17" s="10">
        <v>-4.153336134557633</v>
      </c>
      <c r="U17" s="10">
        <v>-4.071198182018106</v>
      </c>
      <c r="V17" s="10">
        <v>-7.652078940038993</v>
      </c>
      <c r="W17" s="10">
        <v>-8.876561665776828</v>
      </c>
      <c r="X17" s="10">
        <v>-7.534403960898819</v>
      </c>
      <c r="Y17" s="10">
        <v>-6.346701653405564</v>
      </c>
      <c r="Z17" s="10">
        <v>1.1</v>
      </c>
      <c r="AA17" s="10">
        <v>4.7</v>
      </c>
      <c r="AB17" s="10">
        <v>0.25109041499952234</v>
      </c>
      <c r="AC17" s="10">
        <v>-1.1360577964133167</v>
      </c>
      <c r="AD17" s="10">
        <v>-5.9</v>
      </c>
      <c r="AE17" s="10">
        <v>-6.085726537156494</v>
      </c>
      <c r="AF17" s="10">
        <v>-5.579379772055093</v>
      </c>
      <c r="AG17" s="10">
        <v>-5.266405440296744</v>
      </c>
      <c r="AH17" s="10">
        <v>-3.3</v>
      </c>
      <c r="AI17" s="10">
        <v>-2.1678502698011397</v>
      </c>
      <c r="AJ17" s="10">
        <v>-0.09820583104909042</v>
      </c>
      <c r="AK17" s="10">
        <v>1.6411567461589907</v>
      </c>
      <c r="AL17" s="10">
        <v>13.89252799562995</v>
      </c>
      <c r="AM17" s="10">
        <v>13.026334225062065</v>
      </c>
      <c r="AN17" s="10">
        <v>10.6</v>
      </c>
      <c r="AO17" s="10">
        <v>7.83705715024567</v>
      </c>
      <c r="AP17" s="10">
        <v>-5.245137002784749</v>
      </c>
      <c r="AQ17" s="10">
        <v>-4.279752489990404</v>
      </c>
      <c r="AR17" s="10">
        <v>-2.7179792186835594</v>
      </c>
      <c r="AS17" s="10">
        <v>-0.9577203649877335</v>
      </c>
    </row>
    <row r="18" spans="1:45" ht="12.75">
      <c r="A18" s="240" t="s">
        <v>37</v>
      </c>
      <c r="B18" s="240"/>
      <c r="C18" s="240" t="s">
        <v>530</v>
      </c>
      <c r="E18" s="112" t="s">
        <v>545</v>
      </c>
      <c r="F18" s="16">
        <v>1.5</v>
      </c>
      <c r="G18" s="16">
        <v>1.7</v>
      </c>
      <c r="H18" s="16">
        <v>1.5</v>
      </c>
      <c r="I18" s="16">
        <v>0.9</v>
      </c>
      <c r="J18" s="16">
        <v>-3</v>
      </c>
      <c r="K18" s="16">
        <v>-1.8</v>
      </c>
      <c r="L18" s="16">
        <v>-1.2</v>
      </c>
      <c r="M18" s="16">
        <v>0.1</v>
      </c>
      <c r="N18" s="16">
        <v>6.7</v>
      </c>
      <c r="O18" s="16">
        <v>7.1</v>
      </c>
      <c r="P18" s="16">
        <v>6.289324698866398</v>
      </c>
      <c r="Q18" s="16">
        <v>4.14153752194824</v>
      </c>
      <c r="R18" s="16">
        <v>-2.653187698504919</v>
      </c>
      <c r="S18" s="16">
        <v>-1.606003752345216</v>
      </c>
      <c r="T18" s="16">
        <v>-2.653336134557633</v>
      </c>
      <c r="U18" s="16">
        <v>-2.5711981820181062</v>
      </c>
      <c r="V18" s="16">
        <v>-6.7520789400389924</v>
      </c>
      <c r="W18" s="16">
        <v>-9.276561665776828</v>
      </c>
      <c r="X18" s="16">
        <v>-7.034403960898819</v>
      </c>
      <c r="Y18" s="16">
        <v>-4.4467016534055634</v>
      </c>
      <c r="Z18" s="16">
        <v>10.4</v>
      </c>
      <c r="AA18" s="16">
        <v>12.734609806847558</v>
      </c>
      <c r="AB18" s="16">
        <v>10.351090414999522</v>
      </c>
      <c r="AC18" s="16">
        <v>8.263942203586684</v>
      </c>
      <c r="AD18" s="16">
        <v>-2.1</v>
      </c>
      <c r="AE18" s="16">
        <v>-1.1857265371564936</v>
      </c>
      <c r="AF18" s="16">
        <v>-0.6793797720550929</v>
      </c>
      <c r="AG18" s="16">
        <v>-0.7664054402967435</v>
      </c>
      <c r="AH18" s="16">
        <v>1.2</v>
      </c>
      <c r="AI18" s="16">
        <v>-1.9678502698011395</v>
      </c>
      <c r="AJ18" s="16">
        <v>0.6017941689509095</v>
      </c>
      <c r="AK18" s="16">
        <v>2.7411567461589907</v>
      </c>
      <c r="AL18" s="16">
        <v>13.492527995629949</v>
      </c>
      <c r="AM18" s="16">
        <v>16.326334225062066</v>
      </c>
      <c r="AN18" s="16">
        <v>13.6</v>
      </c>
      <c r="AO18" s="16">
        <v>10.1</v>
      </c>
      <c r="AP18" s="16">
        <v>-3.345137002784749</v>
      </c>
      <c r="AQ18" s="16">
        <v>-3.879752489990404</v>
      </c>
      <c r="AR18" s="16">
        <v>-3.0179792186835592</v>
      </c>
      <c r="AS18" s="16">
        <v>-1.9577203649877337</v>
      </c>
    </row>
  </sheetData>
  <sheetProtection/>
  <printOptions/>
  <pageMargins left="0.75" right="0.75" top="1" bottom="1" header="0.5" footer="0.5"/>
  <pageSetup fitToHeight="1" fitToWidth="1" horizontalDpi="600" verticalDpi="600" orientation="landscape" paperSize="9" scale="95" r:id="rId1"/>
</worksheet>
</file>

<file path=xl/worksheets/sheet30.xml><?xml version="1.0" encoding="utf-8"?>
<worksheet xmlns="http://schemas.openxmlformats.org/spreadsheetml/2006/main" xmlns:r="http://schemas.openxmlformats.org/officeDocument/2006/relationships">
  <sheetPr>
    <pageSetUpPr fitToPage="1"/>
  </sheetPr>
  <dimension ref="A1:R11"/>
  <sheetViews>
    <sheetView zoomScaleSheetLayoutView="100" zoomScalePageLayoutView="0" workbookViewId="0" topLeftCell="A1">
      <selection activeCell="A1" sqref="A1"/>
    </sheetView>
  </sheetViews>
  <sheetFormatPr defaultColWidth="9.140625" defaultRowHeight="12.75"/>
  <cols>
    <col min="1" max="1" width="11.140625" style="240" bestFit="1" customWidth="1"/>
    <col min="2" max="2" width="12.140625" style="40" bestFit="1" customWidth="1"/>
    <col min="3" max="3" width="11.28125" style="40" bestFit="1" customWidth="1"/>
    <col min="4" max="4" width="23.421875" style="40" hidden="1" customWidth="1"/>
    <col min="5" max="5" width="30.8515625" style="40" customWidth="1"/>
    <col min="6" max="10" width="11.00390625" style="40" customWidth="1"/>
    <col min="11" max="11" width="9.140625" style="40" customWidth="1"/>
    <col min="12"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+D2</f>
        <v>42735</v>
      </c>
    </row>
    <row r="3" spans="1:5" ht="12.75">
      <c r="A3" s="250"/>
      <c r="B3" s="97" t="s">
        <v>144</v>
      </c>
      <c r="C3" s="98" t="s">
        <v>145</v>
      </c>
      <c r="D3" s="102" t="s">
        <v>146</v>
      </c>
      <c r="E3" s="102" t="s">
        <v>147</v>
      </c>
    </row>
    <row r="4" spans="1:5" ht="12.75">
      <c r="A4" s="240" t="s">
        <v>34</v>
      </c>
      <c r="B4" s="97" t="s">
        <v>148</v>
      </c>
      <c r="D4" s="34" t="s">
        <v>266</v>
      </c>
      <c r="E4" s="34" t="s">
        <v>266</v>
      </c>
    </row>
    <row r="5" spans="2:5" ht="12.75">
      <c r="B5" s="97" t="s">
        <v>150</v>
      </c>
      <c r="E5" s="34"/>
    </row>
    <row r="6" spans="1:18" s="41" customFormat="1" ht="12.75">
      <c r="A6" s="245" t="s">
        <v>35</v>
      </c>
      <c r="B6" s="113" t="s">
        <v>149</v>
      </c>
      <c r="C6" s="103"/>
      <c r="D6" s="103"/>
      <c r="F6" s="155">
        <v>2004</v>
      </c>
      <c r="G6" s="155">
        <v>2005</v>
      </c>
      <c r="H6" s="155">
        <v>2006</v>
      </c>
      <c r="I6" s="155">
        <v>2007</v>
      </c>
      <c r="J6" s="155">
        <v>2008</v>
      </c>
      <c r="K6" s="155">
        <v>2009</v>
      </c>
      <c r="L6" s="155">
        <v>2010</v>
      </c>
      <c r="M6" s="155">
        <v>2011</v>
      </c>
      <c r="N6" s="87">
        <v>2012</v>
      </c>
      <c r="O6" s="87">
        <v>2013</v>
      </c>
      <c r="P6" s="87">
        <v>2014</v>
      </c>
      <c r="Q6" s="87">
        <v>2015</v>
      </c>
      <c r="R6" s="87">
        <v>2016</v>
      </c>
    </row>
    <row r="7" spans="1:5" ht="12.75">
      <c r="A7" s="240" t="s">
        <v>35</v>
      </c>
      <c r="B7" s="240"/>
      <c r="C7" s="240"/>
      <c r="E7" s="34" t="s">
        <v>267</v>
      </c>
    </row>
    <row r="8" spans="1:18" s="17" customFormat="1" ht="12.75">
      <c r="A8" s="240" t="s">
        <v>36</v>
      </c>
      <c r="B8" s="240"/>
      <c r="C8" s="240"/>
      <c r="E8" s="116" t="s">
        <v>263</v>
      </c>
      <c r="F8" s="13" t="s">
        <v>273</v>
      </c>
      <c r="G8" s="13" t="s">
        <v>273</v>
      </c>
      <c r="H8" s="13" t="s">
        <v>273</v>
      </c>
      <c r="I8" s="13" t="s">
        <v>273</v>
      </c>
      <c r="J8" s="13" t="s">
        <v>269</v>
      </c>
      <c r="K8" s="13" t="s">
        <v>269</v>
      </c>
      <c r="L8" s="13" t="s">
        <v>273</v>
      </c>
      <c r="M8" s="13" t="s">
        <v>273</v>
      </c>
      <c r="N8" s="13" t="s">
        <v>273</v>
      </c>
      <c r="O8" s="13" t="s">
        <v>273</v>
      </c>
      <c r="P8" s="9" t="s">
        <v>269</v>
      </c>
      <c r="Q8" s="9" t="s">
        <v>273</v>
      </c>
      <c r="R8" s="9" t="s">
        <v>610</v>
      </c>
    </row>
    <row r="9" spans="1:18" s="17" customFormat="1" ht="12.75">
      <c r="A9" s="240" t="s">
        <v>36</v>
      </c>
      <c r="B9" s="240"/>
      <c r="C9" s="240"/>
      <c r="E9" s="116" t="s">
        <v>264</v>
      </c>
      <c r="F9" s="13" t="s">
        <v>270</v>
      </c>
      <c r="G9" s="13" t="s">
        <v>270</v>
      </c>
      <c r="H9" s="13" t="s">
        <v>270</v>
      </c>
      <c r="I9" s="13" t="s">
        <v>270</v>
      </c>
      <c r="J9" s="13" t="s">
        <v>270</v>
      </c>
      <c r="K9" s="13" t="s">
        <v>270</v>
      </c>
      <c r="L9" s="13" t="s">
        <v>270</v>
      </c>
      <c r="M9" s="13" t="s">
        <v>270</v>
      </c>
      <c r="N9" s="13" t="s">
        <v>270</v>
      </c>
      <c r="O9" s="9" t="s">
        <v>435</v>
      </c>
      <c r="P9" s="13" t="s">
        <v>270</v>
      </c>
      <c r="Q9" s="13" t="s">
        <v>270</v>
      </c>
      <c r="R9" s="13" t="s">
        <v>270</v>
      </c>
    </row>
    <row r="10" spans="1:18" s="17" customFormat="1" ht="12.75">
      <c r="A10" s="240" t="s">
        <v>36</v>
      </c>
      <c r="B10" s="240"/>
      <c r="C10" s="240"/>
      <c r="E10" s="116" t="s">
        <v>265</v>
      </c>
      <c r="F10" s="13" t="s">
        <v>271</v>
      </c>
      <c r="G10" s="13" t="s">
        <v>271</v>
      </c>
      <c r="H10" s="13" t="s">
        <v>271</v>
      </c>
      <c r="I10" s="13" t="s">
        <v>271</v>
      </c>
      <c r="J10" s="13" t="s">
        <v>271</v>
      </c>
      <c r="K10" s="13" t="s">
        <v>271</v>
      </c>
      <c r="L10" s="13" t="s">
        <v>271</v>
      </c>
      <c r="M10" s="13" t="s">
        <v>271</v>
      </c>
      <c r="N10" s="13" t="s">
        <v>271</v>
      </c>
      <c r="O10" s="13" t="s">
        <v>271</v>
      </c>
      <c r="P10" s="13" t="s">
        <v>271</v>
      </c>
      <c r="Q10" s="13" t="s">
        <v>271</v>
      </c>
      <c r="R10" s="13" t="s">
        <v>271</v>
      </c>
    </row>
    <row r="11" spans="1:18" s="17" customFormat="1" ht="12.75">
      <c r="A11" s="240" t="s">
        <v>36</v>
      </c>
      <c r="B11" s="240"/>
      <c r="C11" s="240"/>
      <c r="E11" s="116" t="s">
        <v>268</v>
      </c>
      <c r="F11" s="13" t="s">
        <v>336</v>
      </c>
      <c r="G11" s="13" t="s">
        <v>336</v>
      </c>
      <c r="H11" s="13" t="s">
        <v>336</v>
      </c>
      <c r="I11" s="13" t="s">
        <v>336</v>
      </c>
      <c r="J11" s="13" t="s">
        <v>336</v>
      </c>
      <c r="K11" s="13" t="s">
        <v>272</v>
      </c>
      <c r="L11" s="13" t="s">
        <v>336</v>
      </c>
      <c r="M11" s="13" t="s">
        <v>336</v>
      </c>
      <c r="N11" s="13" t="s">
        <v>336</v>
      </c>
      <c r="O11" s="13" t="s">
        <v>336</v>
      </c>
      <c r="P11" s="9" t="s">
        <v>272</v>
      </c>
      <c r="Q11" s="9" t="s">
        <v>336</v>
      </c>
      <c r="R11" s="9" t="s">
        <v>336</v>
      </c>
    </row>
  </sheetData>
  <sheetProtection/>
  <printOptions/>
  <pageMargins left="0.75" right="0.75" top="1" bottom="1" header="0.5" footer="0.5"/>
  <pageSetup fitToHeight="3" fitToWidth="1" horizontalDpi="600" verticalDpi="600" orientation="portrait" paperSize="8" scale="88" r:id="rId1"/>
</worksheet>
</file>

<file path=xl/worksheets/sheet31.xml><?xml version="1.0" encoding="utf-8"?>
<worksheet xmlns="http://schemas.openxmlformats.org/spreadsheetml/2006/main" xmlns:r="http://schemas.openxmlformats.org/officeDocument/2006/relationships">
  <dimension ref="A1:L11"/>
  <sheetViews>
    <sheetView zoomScalePageLayoutView="0" workbookViewId="0" topLeftCell="A1">
      <selection activeCell="M29" sqref="M29"/>
    </sheetView>
  </sheetViews>
  <sheetFormatPr defaultColWidth="9.140625" defaultRowHeight="12.75"/>
  <cols>
    <col min="1" max="1" width="12.421875" style="252" bestFit="1" customWidth="1"/>
    <col min="2" max="2" width="12.140625" style="71" bestFit="1" customWidth="1"/>
    <col min="3" max="3" width="11.28125" style="71" hidden="1" customWidth="1"/>
    <col min="4" max="4" width="60.421875" style="71" hidden="1" customWidth="1"/>
    <col min="5" max="5" width="37.7109375" style="289" customWidth="1"/>
    <col min="6" max="6" width="11.57421875" style="167" customWidth="1"/>
    <col min="7" max="7" width="10.421875" style="167" customWidth="1"/>
    <col min="8" max="8" width="12.28125" style="167" customWidth="1"/>
    <col min="9" max="9" width="10.7109375" style="167" customWidth="1"/>
    <col min="10" max="10" width="10.421875" style="167" customWidth="1"/>
    <col min="11" max="11" width="12.57421875" style="167" customWidth="1"/>
    <col min="12" max="12" width="11.00390625" style="53" customWidth="1"/>
    <col min="13" max="16384" width="9.140625" style="40" customWidth="1"/>
  </cols>
  <sheetData>
    <row r="1" spans="1:5" ht="17.25">
      <c r="A1" s="249">
        <v>42735</v>
      </c>
      <c r="B1" s="97" t="s">
        <v>141</v>
      </c>
      <c r="C1" s="98"/>
      <c r="D1" s="99" t="str">
        <f>Company</f>
        <v>AB Electrolux</v>
      </c>
      <c r="E1" s="147" t="str">
        <f>Company</f>
        <v>AB Electrolux</v>
      </c>
    </row>
    <row r="2" spans="1:5" ht="12.75">
      <c r="A2" s="250"/>
      <c r="B2" s="97" t="s">
        <v>143</v>
      </c>
      <c r="C2" s="98"/>
      <c r="D2" s="100">
        <f>A1</f>
        <v>42735</v>
      </c>
      <c r="E2" s="288"/>
    </row>
    <row r="3" spans="1:11" ht="12.75">
      <c r="A3" s="250"/>
      <c r="B3" s="97" t="s">
        <v>144</v>
      </c>
      <c r="C3" s="98" t="s">
        <v>145</v>
      </c>
      <c r="D3" s="102" t="s">
        <v>146</v>
      </c>
      <c r="E3" s="287" t="s">
        <v>147</v>
      </c>
      <c r="F3" s="110"/>
      <c r="G3" s="110"/>
      <c r="H3" s="110"/>
      <c r="I3" s="110"/>
      <c r="J3" s="110"/>
      <c r="K3" s="110"/>
    </row>
    <row r="4" spans="1:11" ht="26.25">
      <c r="A4" s="240" t="s">
        <v>34</v>
      </c>
      <c r="B4" s="97" t="s">
        <v>148</v>
      </c>
      <c r="C4" s="72"/>
      <c r="D4" s="110" t="s">
        <v>492</v>
      </c>
      <c r="E4" s="112" t="s">
        <v>579</v>
      </c>
      <c r="F4" s="184"/>
      <c r="G4" s="184"/>
      <c r="H4" s="184"/>
      <c r="I4" s="184"/>
      <c r="J4" s="53"/>
      <c r="K4" s="53"/>
    </row>
    <row r="5" spans="1:11" ht="12.75">
      <c r="A5" s="259"/>
      <c r="B5" s="97" t="s">
        <v>150</v>
      </c>
      <c r="C5" s="58" t="s">
        <v>284</v>
      </c>
      <c r="F5" s="184"/>
      <c r="G5" s="184"/>
      <c r="H5" s="184"/>
      <c r="I5" s="184"/>
      <c r="J5" s="53"/>
      <c r="K5" s="53"/>
    </row>
    <row r="6" spans="1:12" s="41" customFormat="1" ht="12.75">
      <c r="A6" s="277" t="s">
        <v>35</v>
      </c>
      <c r="B6" s="113" t="s">
        <v>149</v>
      </c>
      <c r="C6" s="103" t="s">
        <v>284</v>
      </c>
      <c r="D6" s="234"/>
      <c r="E6" s="235" t="s">
        <v>580</v>
      </c>
      <c r="F6" s="235">
        <v>2017</v>
      </c>
      <c r="G6" s="233">
        <v>2018</v>
      </c>
      <c r="H6" s="233">
        <v>2019</v>
      </c>
      <c r="I6" s="233">
        <v>2020</v>
      </c>
      <c r="J6" s="233">
        <v>2021</v>
      </c>
      <c r="K6" s="233" t="s">
        <v>611</v>
      </c>
      <c r="L6" s="233" t="s">
        <v>27</v>
      </c>
    </row>
    <row r="7" spans="1:12" s="33" customFormat="1" ht="12.75">
      <c r="A7" s="238" t="s">
        <v>571</v>
      </c>
      <c r="B7" s="263"/>
      <c r="C7" s="278"/>
      <c r="D7" s="279"/>
      <c r="E7" s="149" t="s">
        <v>31</v>
      </c>
      <c r="F7" s="280"/>
      <c r="G7" s="280"/>
      <c r="H7" s="280"/>
      <c r="I7" s="280"/>
      <c r="J7" s="280"/>
      <c r="K7" s="280"/>
      <c r="L7" s="80"/>
    </row>
    <row r="8" spans="1:12" ht="12.75">
      <c r="A8" s="240" t="s">
        <v>36</v>
      </c>
      <c r="B8" s="262"/>
      <c r="C8" s="72"/>
      <c r="D8" s="111"/>
      <c r="E8" s="185" t="s">
        <v>493</v>
      </c>
      <c r="F8" s="215">
        <v>0</v>
      </c>
      <c r="G8" s="215">
        <v>1999</v>
      </c>
      <c r="H8" s="216">
        <v>1952</v>
      </c>
      <c r="I8" s="215">
        <v>1000</v>
      </c>
      <c r="J8" s="216">
        <v>0</v>
      </c>
      <c r="K8" s="215">
        <v>0</v>
      </c>
      <c r="L8" s="186">
        <v>4951</v>
      </c>
    </row>
    <row r="9" spans="1:12" ht="12.75">
      <c r="A9" s="240" t="s">
        <v>36</v>
      </c>
      <c r="B9" s="262"/>
      <c r="C9" s="72"/>
      <c r="D9" s="111"/>
      <c r="E9" s="185" t="s">
        <v>494</v>
      </c>
      <c r="F9" s="215">
        <v>0</v>
      </c>
      <c r="G9" s="215">
        <v>326</v>
      </c>
      <c r="H9" s="215">
        <v>308</v>
      </c>
      <c r="I9" s="215">
        <v>308</v>
      </c>
      <c r="J9" s="215">
        <v>1690</v>
      </c>
      <c r="K9" s="216">
        <v>369</v>
      </c>
      <c r="L9" s="186">
        <v>3001</v>
      </c>
    </row>
    <row r="10" spans="1:12" ht="12.75">
      <c r="A10" s="252" t="s">
        <v>36</v>
      </c>
      <c r="B10" s="252"/>
      <c r="D10" s="187"/>
      <c r="E10" s="185" t="s">
        <v>495</v>
      </c>
      <c r="F10" s="215">
        <v>499</v>
      </c>
      <c r="G10" s="215">
        <v>0</v>
      </c>
      <c r="H10" s="215">
        <v>0</v>
      </c>
      <c r="I10" s="215">
        <v>0</v>
      </c>
      <c r="J10" s="215">
        <v>0</v>
      </c>
      <c r="K10" s="215">
        <v>0</v>
      </c>
      <c r="L10" s="186">
        <v>499</v>
      </c>
    </row>
    <row r="11" spans="1:12" ht="12.75">
      <c r="A11" s="240" t="s">
        <v>27</v>
      </c>
      <c r="B11" s="252"/>
      <c r="E11" s="188" t="s">
        <v>27</v>
      </c>
      <c r="F11" s="189">
        <v>499</v>
      </c>
      <c r="G11" s="189">
        <v>2325</v>
      </c>
      <c r="H11" s="190">
        <v>2260</v>
      </c>
      <c r="I11" s="190">
        <v>1308</v>
      </c>
      <c r="J11" s="190">
        <v>1690</v>
      </c>
      <c r="K11" s="191">
        <v>369</v>
      </c>
      <c r="L11" s="190">
        <v>8451</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O33"/>
  <sheetViews>
    <sheetView zoomScalePageLayoutView="0" workbookViewId="0" topLeftCell="A1">
      <selection activeCell="K28" sqref="K28"/>
    </sheetView>
  </sheetViews>
  <sheetFormatPr defaultColWidth="9.140625" defaultRowHeight="12.75"/>
  <cols>
    <col min="1" max="1" width="10.00390625" style="252" customWidth="1"/>
    <col min="2" max="2" width="12.140625" style="97" customWidth="1"/>
    <col min="3" max="3" width="11.140625" style="97" customWidth="1"/>
    <col min="4" max="4" width="27.57421875" style="97" hidden="1" customWidth="1"/>
    <col min="5" max="5" width="38.8515625" style="98" customWidth="1"/>
    <col min="6" max="7" width="9.57421875" style="53" customWidth="1"/>
    <col min="8" max="8" width="9.57421875" style="194" customWidth="1"/>
    <col min="9" max="15" width="9.57421875" style="53" customWidth="1"/>
    <col min="16" max="16384" width="9.140625" style="53" customWidth="1"/>
  </cols>
  <sheetData>
    <row r="1" spans="1:5" ht="17.25">
      <c r="A1" s="250">
        <v>42369</v>
      </c>
      <c r="B1" s="97" t="s">
        <v>141</v>
      </c>
      <c r="C1" s="98"/>
      <c r="D1" s="99" t="str">
        <f>Company</f>
        <v>AB Electrolux</v>
      </c>
      <c r="E1" s="99" t="str">
        <f>Company</f>
        <v>AB Electrolux</v>
      </c>
    </row>
    <row r="2" spans="1:5" ht="12.75">
      <c r="A2" s="250"/>
      <c r="B2" s="97" t="s">
        <v>143</v>
      </c>
      <c r="C2" s="98"/>
      <c r="D2" s="100">
        <f>A1</f>
        <v>42369</v>
      </c>
      <c r="E2" s="101">
        <f>A1</f>
        <v>42369</v>
      </c>
    </row>
    <row r="3" spans="1:8" s="195" customFormat="1" ht="12.75">
      <c r="A3" s="250"/>
      <c r="B3" s="97" t="s">
        <v>144</v>
      </c>
      <c r="C3" s="98" t="s">
        <v>145</v>
      </c>
      <c r="D3" s="102" t="s">
        <v>146</v>
      </c>
      <c r="E3" s="102" t="s">
        <v>147</v>
      </c>
      <c r="H3" s="197"/>
    </row>
    <row r="4" spans="1:8" ht="15">
      <c r="A4" s="252" t="s">
        <v>34</v>
      </c>
      <c r="B4" s="97" t="s">
        <v>148</v>
      </c>
      <c r="D4" s="198" t="s">
        <v>496</v>
      </c>
      <c r="E4" s="198" t="s">
        <v>581</v>
      </c>
      <c r="F4" s="200"/>
      <c r="G4" s="199"/>
      <c r="H4" s="196"/>
    </row>
    <row r="5" spans="2:8" ht="13.5">
      <c r="B5" s="97" t="s">
        <v>150</v>
      </c>
      <c r="D5" s="201"/>
      <c r="E5" s="201"/>
      <c r="F5" s="200"/>
      <c r="G5" s="199"/>
      <c r="H5" s="196"/>
    </row>
    <row r="6" spans="1:15" s="41" customFormat="1" ht="12.75">
      <c r="A6" s="281" t="s">
        <v>35</v>
      </c>
      <c r="B6" s="113" t="s">
        <v>149</v>
      </c>
      <c r="C6" s="103"/>
      <c r="D6" s="236"/>
      <c r="E6" s="236" t="s">
        <v>576</v>
      </c>
      <c r="F6" s="237">
        <v>2006</v>
      </c>
      <c r="G6" s="237">
        <v>2007</v>
      </c>
      <c r="H6" s="237">
        <v>2008</v>
      </c>
      <c r="I6" s="237">
        <v>2009</v>
      </c>
      <c r="J6" s="237">
        <v>2010</v>
      </c>
      <c r="K6" s="237">
        <v>2011</v>
      </c>
      <c r="L6" s="237">
        <v>2012</v>
      </c>
      <c r="M6" s="237">
        <v>2013</v>
      </c>
      <c r="N6" s="237">
        <v>2014</v>
      </c>
      <c r="O6" s="237">
        <v>2015</v>
      </c>
    </row>
    <row r="7" spans="1:15" ht="12.75">
      <c r="A7" s="252" t="s">
        <v>36</v>
      </c>
      <c r="B7" s="252"/>
      <c r="C7" s="252" t="s">
        <v>533</v>
      </c>
      <c r="D7" s="202"/>
      <c r="E7" s="203" t="s">
        <v>566</v>
      </c>
      <c r="F7" s="205">
        <v>116.9</v>
      </c>
      <c r="G7" s="204">
        <v>108.5</v>
      </c>
      <c r="H7" s="204">
        <v>66.75</v>
      </c>
      <c r="I7" s="204">
        <v>167.5</v>
      </c>
      <c r="J7" s="204">
        <v>191</v>
      </c>
      <c r="K7" s="204">
        <v>109.7</v>
      </c>
      <c r="L7" s="204">
        <v>170.5</v>
      </c>
      <c r="M7" s="204">
        <v>168.5</v>
      </c>
      <c r="N7" s="204">
        <v>228.8</v>
      </c>
      <c r="O7" s="204">
        <v>205.2</v>
      </c>
    </row>
    <row r="8" spans="1:15" ht="12.75">
      <c r="A8" s="252" t="s">
        <v>36</v>
      </c>
      <c r="B8" s="252"/>
      <c r="C8" s="252" t="s">
        <v>533</v>
      </c>
      <c r="D8" s="203"/>
      <c r="E8" s="203" t="s">
        <v>560</v>
      </c>
      <c r="F8" s="205">
        <v>137</v>
      </c>
      <c r="G8" s="204">
        <v>108.5</v>
      </c>
      <c r="H8" s="204">
        <v>66.75</v>
      </c>
      <c r="I8" s="204">
        <v>167.5</v>
      </c>
      <c r="J8" s="204">
        <v>191</v>
      </c>
      <c r="K8" s="204">
        <v>109.7</v>
      </c>
      <c r="L8" s="204">
        <v>170.5</v>
      </c>
      <c r="M8" s="204">
        <v>168.5</v>
      </c>
      <c r="N8" s="204">
        <v>228.8</v>
      </c>
      <c r="O8" s="204">
        <v>205.2</v>
      </c>
    </row>
    <row r="9" spans="1:15" ht="12.75">
      <c r="A9" s="252" t="s">
        <v>36</v>
      </c>
      <c r="B9" s="252"/>
      <c r="C9" s="252" t="s">
        <v>533</v>
      </c>
      <c r="D9" s="203"/>
      <c r="E9" s="203" t="s">
        <v>561</v>
      </c>
      <c r="F9" s="205">
        <v>119</v>
      </c>
      <c r="G9" s="204">
        <v>190</v>
      </c>
      <c r="H9" s="204">
        <v>106</v>
      </c>
      <c r="I9" s="204">
        <v>184.1</v>
      </c>
      <c r="J9" s="204">
        <v>194.7</v>
      </c>
      <c r="K9" s="204">
        <v>195.6</v>
      </c>
      <c r="L9" s="204">
        <v>179</v>
      </c>
      <c r="M9" s="204">
        <v>192.7</v>
      </c>
      <c r="N9" s="204">
        <v>231.1</v>
      </c>
      <c r="O9" s="204">
        <v>280</v>
      </c>
    </row>
    <row r="10" spans="1:15" ht="12.75">
      <c r="A10" s="252" t="s">
        <v>36</v>
      </c>
      <c r="B10" s="252"/>
      <c r="C10" s="252" t="s">
        <v>533</v>
      </c>
      <c r="D10" s="203"/>
      <c r="E10" s="203" t="s">
        <v>562</v>
      </c>
      <c r="F10" s="205">
        <v>78.5</v>
      </c>
      <c r="G10" s="204">
        <v>102</v>
      </c>
      <c r="H10" s="204">
        <v>53.5</v>
      </c>
      <c r="I10" s="204">
        <v>57.5</v>
      </c>
      <c r="J10" s="204">
        <v>142.5</v>
      </c>
      <c r="K10" s="204">
        <v>95.3</v>
      </c>
      <c r="L10" s="204">
        <v>111.5</v>
      </c>
      <c r="M10" s="204">
        <v>153.7</v>
      </c>
      <c r="N10" s="204">
        <v>135.3</v>
      </c>
      <c r="O10" s="204">
        <v>194</v>
      </c>
    </row>
    <row r="11" spans="1:15" ht="12.75">
      <c r="A11" s="252" t="s">
        <v>36</v>
      </c>
      <c r="B11" s="252"/>
      <c r="C11" s="252" t="s">
        <v>530</v>
      </c>
      <c r="D11" s="203"/>
      <c r="E11" s="203" t="s">
        <v>558</v>
      </c>
      <c r="F11" s="207">
        <v>31</v>
      </c>
      <c r="G11" s="207">
        <f aca="true" t="shared" si="0" ref="G11:O11">(G7-F7)/F7*100</f>
        <v>-7.185628742514974</v>
      </c>
      <c r="H11" s="207">
        <f t="shared" si="0"/>
        <v>-38.47926267281106</v>
      </c>
      <c r="I11" s="207">
        <f t="shared" si="0"/>
        <v>150.93632958801498</v>
      </c>
      <c r="J11" s="207">
        <f t="shared" si="0"/>
        <v>14.029850746268657</v>
      </c>
      <c r="K11" s="207">
        <f t="shared" si="0"/>
        <v>-42.56544502617801</v>
      </c>
      <c r="L11" s="207">
        <f t="shared" si="0"/>
        <v>55.423883318140376</v>
      </c>
      <c r="M11" s="207">
        <f t="shared" si="0"/>
        <v>-1.1730205278592376</v>
      </c>
      <c r="N11" s="207">
        <f t="shared" si="0"/>
        <v>35.78635014836796</v>
      </c>
      <c r="O11" s="207">
        <f t="shared" si="0"/>
        <v>-10.314685314685324</v>
      </c>
    </row>
    <row r="12" spans="1:15" ht="12.75">
      <c r="A12" s="252" t="s">
        <v>36</v>
      </c>
      <c r="B12" s="252"/>
      <c r="C12" s="252" t="s">
        <v>533</v>
      </c>
      <c r="D12" s="203"/>
      <c r="E12" s="203" t="s">
        <v>554</v>
      </c>
      <c r="F12" s="207">
        <v>47.3</v>
      </c>
      <c r="G12" s="206">
        <v>56.95</v>
      </c>
      <c r="H12" s="206">
        <v>57.78</v>
      </c>
      <c r="I12" s="206">
        <v>66.1729</v>
      </c>
      <c r="J12" s="206">
        <v>72.41</v>
      </c>
      <c r="K12" s="206">
        <v>73</v>
      </c>
      <c r="L12" s="206">
        <v>55</v>
      </c>
      <c r="M12" s="206">
        <v>49.87421383647799</v>
      </c>
      <c r="N12" s="206">
        <f>(16468/286.3)</f>
        <v>57.52008382815229</v>
      </c>
      <c r="O12" s="206">
        <f>15005/287.4</f>
        <v>52.209464161447464</v>
      </c>
    </row>
    <row r="13" spans="1:15" ht="12.75">
      <c r="A13" s="252" t="s">
        <v>36</v>
      </c>
      <c r="B13" s="252"/>
      <c r="C13" s="252" t="s">
        <v>530</v>
      </c>
      <c r="D13" s="203"/>
      <c r="E13" s="203" t="s">
        <v>559</v>
      </c>
      <c r="F13" s="207">
        <f>F7/F12*100</f>
        <v>247.14587737843553</v>
      </c>
      <c r="G13" s="207">
        <f aca="true" t="shared" si="1" ref="G13:O13">G8/G12*100</f>
        <v>190.51799824407374</v>
      </c>
      <c r="H13" s="207">
        <f t="shared" si="1"/>
        <v>115.52440290758048</v>
      </c>
      <c r="I13" s="207">
        <f t="shared" si="1"/>
        <v>253.1247685986257</v>
      </c>
      <c r="J13" s="207">
        <f t="shared" si="1"/>
        <v>263.7757215854164</v>
      </c>
      <c r="K13" s="207">
        <f t="shared" si="1"/>
        <v>150.27397260273975</v>
      </c>
      <c r="L13" s="207">
        <f t="shared" si="1"/>
        <v>310</v>
      </c>
      <c r="M13" s="207">
        <f t="shared" si="1"/>
        <v>337.84993694829757</v>
      </c>
      <c r="N13" s="207">
        <f t="shared" si="1"/>
        <v>397.77410735972796</v>
      </c>
      <c r="O13" s="207">
        <f t="shared" si="1"/>
        <v>393.03218927024324</v>
      </c>
    </row>
    <row r="14" spans="1:15" ht="12.75">
      <c r="A14" s="252" t="s">
        <v>36</v>
      </c>
      <c r="B14" s="252"/>
      <c r="C14" s="252" t="s">
        <v>533</v>
      </c>
      <c r="D14" s="203"/>
      <c r="E14" s="203" t="s">
        <v>563</v>
      </c>
      <c r="F14" s="208">
        <v>4</v>
      </c>
      <c r="G14" s="211">
        <v>4.25</v>
      </c>
      <c r="H14" s="211">
        <v>0</v>
      </c>
      <c r="I14" s="208">
        <v>4</v>
      </c>
      <c r="J14" s="208">
        <v>6.5</v>
      </c>
      <c r="K14" s="204">
        <v>6.5</v>
      </c>
      <c r="L14" s="204">
        <v>6.5</v>
      </c>
      <c r="M14" s="204">
        <v>6.5</v>
      </c>
      <c r="N14" s="204">
        <v>6.5</v>
      </c>
      <c r="O14" s="204">
        <v>6.5</v>
      </c>
    </row>
    <row r="15" spans="1:15" ht="12.75">
      <c r="A15" s="252" t="s">
        <v>36</v>
      </c>
      <c r="B15" s="252"/>
      <c r="C15" s="252" t="s">
        <v>530</v>
      </c>
      <c r="D15" s="203"/>
      <c r="E15" s="203" t="s">
        <v>565</v>
      </c>
      <c r="F15" s="209">
        <f>F14/F18*100</f>
        <v>36.73094582185491</v>
      </c>
      <c r="G15" s="209">
        <f>G14/G18*100</f>
        <v>36.449399656946824</v>
      </c>
      <c r="H15" s="209">
        <v>0</v>
      </c>
      <c r="I15" s="209">
        <f>I14/I18*100</f>
        <v>29.49852507374631</v>
      </c>
      <c r="J15" s="209">
        <f>J14/J18*100</f>
        <v>39.03903903903904</v>
      </c>
      <c r="K15" s="209">
        <f>K14/K18*100</f>
        <v>86.09271523178809</v>
      </c>
      <c r="L15" s="209">
        <f>L14/L18*100</f>
        <v>57.218309859154935</v>
      </c>
      <c r="M15" s="209">
        <v>66.25891946992864</v>
      </c>
      <c r="N15" s="209">
        <f>+N14/N18*100</f>
        <v>57.52212389380531</v>
      </c>
      <c r="O15" s="209">
        <f>+O14/O18*100</f>
        <v>119.26605504587155</v>
      </c>
    </row>
    <row r="16" spans="1:15" ht="12.75">
      <c r="A16" s="252" t="s">
        <v>36</v>
      </c>
      <c r="B16" s="252"/>
      <c r="C16" s="252" t="s">
        <v>530</v>
      </c>
      <c r="D16" s="203"/>
      <c r="E16" s="203" t="s">
        <v>567</v>
      </c>
      <c r="F16" s="210">
        <f>F14/F7*100</f>
        <v>3.4217279726261762</v>
      </c>
      <c r="G16" s="210">
        <f>G14/G8*100</f>
        <v>3.9170506912442393</v>
      </c>
      <c r="H16" s="209">
        <v>0</v>
      </c>
      <c r="I16" s="210">
        <f aca="true" t="shared" si="2" ref="I16:O16">I14/I8*100</f>
        <v>2.3880597014925375</v>
      </c>
      <c r="J16" s="210">
        <f t="shared" si="2"/>
        <v>3.4031413612565444</v>
      </c>
      <c r="K16" s="210">
        <f t="shared" si="2"/>
        <v>5.925250683682771</v>
      </c>
      <c r="L16" s="210">
        <f t="shared" si="2"/>
        <v>3.812316715542522</v>
      </c>
      <c r="M16" s="210">
        <f t="shared" si="2"/>
        <v>3.857566765578635</v>
      </c>
      <c r="N16" s="210">
        <f t="shared" si="2"/>
        <v>2.840909090909091</v>
      </c>
      <c r="O16" s="210">
        <f t="shared" si="2"/>
        <v>3.1676413255360627</v>
      </c>
    </row>
    <row r="17" spans="1:15" ht="12.75">
      <c r="A17" s="252" t="s">
        <v>36</v>
      </c>
      <c r="B17" s="252"/>
      <c r="C17" s="252" t="s">
        <v>533</v>
      </c>
      <c r="D17" s="203"/>
      <c r="E17" s="203" t="s">
        <v>536</v>
      </c>
      <c r="F17" s="204">
        <v>9.17</v>
      </c>
      <c r="G17" s="204">
        <v>10.41</v>
      </c>
      <c r="H17" s="204">
        <v>1.29</v>
      </c>
      <c r="I17" s="211">
        <v>9.18</v>
      </c>
      <c r="J17" s="211">
        <v>14.04</v>
      </c>
      <c r="K17" s="204">
        <v>7.25</v>
      </c>
      <c r="L17" s="204">
        <v>8.26</v>
      </c>
      <c r="M17" s="204">
        <v>2.35</v>
      </c>
      <c r="N17" s="204">
        <v>7.83</v>
      </c>
      <c r="O17" s="204">
        <v>5.45</v>
      </c>
    </row>
    <row r="18" spans="1:15" ht="21">
      <c r="A18" s="252" t="s">
        <v>36</v>
      </c>
      <c r="B18" s="252"/>
      <c r="C18" s="252" t="s">
        <v>533</v>
      </c>
      <c r="D18" s="203"/>
      <c r="E18" s="203" t="s">
        <v>564</v>
      </c>
      <c r="F18" s="211">
        <v>10.89</v>
      </c>
      <c r="G18" s="211">
        <v>11.66</v>
      </c>
      <c r="H18" s="211">
        <v>2.32</v>
      </c>
      <c r="I18" s="211">
        <v>13.56</v>
      </c>
      <c r="J18" s="211">
        <v>16.65</v>
      </c>
      <c r="K18" s="211">
        <v>7.55</v>
      </c>
      <c r="L18" s="211">
        <v>11.36</v>
      </c>
      <c r="M18" s="211">
        <v>9.81</v>
      </c>
      <c r="N18" s="211">
        <v>11.3</v>
      </c>
      <c r="O18" s="211">
        <v>5.45</v>
      </c>
    </row>
    <row r="19" spans="1:15" ht="12.75">
      <c r="A19" s="252" t="s">
        <v>36</v>
      </c>
      <c r="B19" s="252"/>
      <c r="C19" s="252" t="s">
        <v>533</v>
      </c>
      <c r="D19" s="203"/>
      <c r="E19" s="203" t="s">
        <v>568</v>
      </c>
      <c r="F19" s="211">
        <v>7.53</v>
      </c>
      <c r="G19" s="204">
        <f>1277/281</f>
        <v>4.544483985765124</v>
      </c>
      <c r="H19" s="204">
        <f>1194/283.1</f>
        <v>4.217590957258919</v>
      </c>
      <c r="I19" s="204">
        <f>8295/284.421467</f>
        <v>29.164465282784015</v>
      </c>
      <c r="J19" s="204">
        <f>7680/284.665223</f>
        <v>26.979059539001007</v>
      </c>
      <c r="K19" s="204">
        <v>18.97</v>
      </c>
      <c r="L19" s="204">
        <v>24.74</v>
      </c>
      <c r="M19" s="204">
        <v>15.565439483458007</v>
      </c>
      <c r="N19" s="204">
        <v>27.34965034965035</v>
      </c>
      <c r="O19" s="204">
        <f>8267/287.4</f>
        <v>28.764787752261658</v>
      </c>
    </row>
    <row r="20" spans="1:15" ht="12.75">
      <c r="A20" s="252" t="s">
        <v>36</v>
      </c>
      <c r="B20" s="252"/>
      <c r="C20" s="252"/>
      <c r="D20" s="203"/>
      <c r="E20" s="203" t="s">
        <v>569</v>
      </c>
      <c r="F20" s="210">
        <v>8</v>
      </c>
      <c r="G20" s="210">
        <f>+(30554+4703)/4475</f>
        <v>7.878659217877095</v>
      </c>
      <c r="H20" s="210">
        <f>+(18930+4556)/1188</f>
        <v>19.76936026936027</v>
      </c>
      <c r="I20" s="210">
        <f>+(47641+665)/3761</f>
        <v>12.84392448816804</v>
      </c>
      <c r="J20" s="210">
        <f>(59592.881953-709)/5430</f>
        <v>10.844177155248618</v>
      </c>
      <c r="K20" s="210">
        <v>13.4</v>
      </c>
      <c r="L20" s="210">
        <v>14.6</v>
      </c>
      <c r="M20" s="210">
        <v>38.813291139240505</v>
      </c>
      <c r="N20" s="210">
        <f>+(70735+9631)/3581</f>
        <v>22.442334543423623</v>
      </c>
      <c r="O20" s="210">
        <f>+(63426+6407)/2741</f>
        <v>25.47719810288216</v>
      </c>
    </row>
    <row r="21" spans="1:15" ht="12.75">
      <c r="A21" s="252" t="s">
        <v>36</v>
      </c>
      <c r="B21" s="252"/>
      <c r="C21" s="252"/>
      <c r="D21" s="203"/>
      <c r="E21" s="203" t="s">
        <v>591</v>
      </c>
      <c r="F21" s="210">
        <v>7.1</v>
      </c>
      <c r="G21" s="210">
        <f>+(30554+4703)/4837</f>
        <v>7.289022121149473</v>
      </c>
      <c r="H21" s="210">
        <f>+(18930+4556)/1543</f>
        <v>15.22099805573558</v>
      </c>
      <c r="I21" s="210">
        <f>+(47641+665)/5322</f>
        <v>9.076662908680946</v>
      </c>
      <c r="J21" s="210">
        <f>(59592.881953-709)/6494</f>
        <v>9.06742869618109</v>
      </c>
      <c r="K21" s="210">
        <v>12.8</v>
      </c>
      <c r="L21" s="210">
        <v>11.6</v>
      </c>
      <c r="M21" s="210">
        <v>15.123304562268803</v>
      </c>
      <c r="N21" s="210">
        <f>+(70735+9631)/4780</f>
        <v>16.812970711297073</v>
      </c>
      <c r="O21" s="210">
        <v>25.5</v>
      </c>
    </row>
    <row r="22" spans="1:15" ht="12.75" hidden="1">
      <c r="A22" s="252" t="s">
        <v>36</v>
      </c>
      <c r="B22" s="252"/>
      <c r="C22" s="252"/>
      <c r="D22" s="203"/>
      <c r="E22" s="203" t="s">
        <v>497</v>
      </c>
      <c r="F22" s="210">
        <f>F7/F18</f>
        <v>10.734618916437098</v>
      </c>
      <c r="G22" s="210">
        <f>G8/G18</f>
        <v>9.305317324185248</v>
      </c>
      <c r="H22" s="210">
        <f>H8/H18</f>
        <v>28.771551724137932</v>
      </c>
      <c r="I22" s="210">
        <f>I8/I18</f>
        <v>12.352507374631267</v>
      </c>
      <c r="J22" s="210">
        <f>J8/J18</f>
        <v>11.471471471471473</v>
      </c>
      <c r="K22" s="210">
        <f>K7/K17</f>
        <v>15.13103448275862</v>
      </c>
      <c r="L22" s="210">
        <v>18.777533039647576</v>
      </c>
      <c r="M22" s="210">
        <v>71.70212765957447</v>
      </c>
      <c r="N22" s="210">
        <f>N7/N17</f>
        <v>29.22094508301405</v>
      </c>
      <c r="O22" s="210">
        <f>O7/O17</f>
        <v>37.65137614678899</v>
      </c>
    </row>
    <row r="23" spans="1:15" ht="12.75">
      <c r="A23" s="252" t="s">
        <v>36</v>
      </c>
      <c r="B23" s="252"/>
      <c r="C23" s="252"/>
      <c r="D23" s="203"/>
      <c r="E23" s="203" t="s">
        <v>570</v>
      </c>
      <c r="F23" s="210">
        <f aca="true" t="shared" si="3" ref="F23:O23">F7/F17</f>
        <v>12.748091603053435</v>
      </c>
      <c r="G23" s="210">
        <f t="shared" si="3"/>
        <v>10.42267050912584</v>
      </c>
      <c r="H23" s="210">
        <f t="shared" si="3"/>
        <v>51.74418604651163</v>
      </c>
      <c r="I23" s="210">
        <f t="shared" si="3"/>
        <v>18.246187363834423</v>
      </c>
      <c r="J23" s="210">
        <f t="shared" si="3"/>
        <v>13.603988603988604</v>
      </c>
      <c r="K23" s="210">
        <f t="shared" si="3"/>
        <v>15.13103448275862</v>
      </c>
      <c r="L23" s="210">
        <f t="shared" si="3"/>
        <v>20.641646489104115</v>
      </c>
      <c r="M23" s="210">
        <f t="shared" si="3"/>
        <v>71.70212765957447</v>
      </c>
      <c r="N23" s="210">
        <f t="shared" si="3"/>
        <v>29.22094508301405</v>
      </c>
      <c r="O23" s="210">
        <f t="shared" si="3"/>
        <v>37.65137614678899</v>
      </c>
    </row>
    <row r="24" spans="1:15" ht="12.75">
      <c r="A24" s="252" t="s">
        <v>36</v>
      </c>
      <c r="B24" s="252"/>
      <c r="C24" s="252"/>
      <c r="D24" s="203"/>
      <c r="E24" s="203" t="s">
        <v>590</v>
      </c>
      <c r="F24" s="210">
        <f>F7/F18</f>
        <v>10.734618916437098</v>
      </c>
      <c r="G24" s="210">
        <f aca="true" t="shared" si="4" ref="G24:O24">G7/G18</f>
        <v>9.305317324185248</v>
      </c>
      <c r="H24" s="210">
        <f t="shared" si="4"/>
        <v>28.771551724137932</v>
      </c>
      <c r="I24" s="210">
        <f t="shared" si="4"/>
        <v>12.352507374631267</v>
      </c>
      <c r="J24" s="210">
        <f t="shared" si="4"/>
        <v>11.471471471471473</v>
      </c>
      <c r="K24" s="210">
        <f t="shared" si="4"/>
        <v>14.529801324503312</v>
      </c>
      <c r="L24" s="210">
        <f t="shared" si="4"/>
        <v>15.00880281690141</v>
      </c>
      <c r="M24" s="210">
        <f t="shared" si="4"/>
        <v>17.176350662589194</v>
      </c>
      <c r="N24" s="210">
        <f t="shared" si="4"/>
        <v>20.24778761061947</v>
      </c>
      <c r="O24" s="210">
        <f t="shared" si="4"/>
        <v>37.65137614678899</v>
      </c>
    </row>
    <row r="25" spans="1:15" ht="12.75">
      <c r="A25" s="252" t="s">
        <v>36</v>
      </c>
      <c r="B25" s="252"/>
      <c r="C25" s="252" t="s">
        <v>596</v>
      </c>
      <c r="D25" s="203"/>
      <c r="E25" s="203" t="s">
        <v>255</v>
      </c>
      <c r="F25" s="206">
        <v>59500</v>
      </c>
      <c r="G25" s="206">
        <v>52700</v>
      </c>
      <c r="H25" s="206">
        <v>52600</v>
      </c>
      <c r="I25" s="206">
        <v>52000</v>
      </c>
      <c r="J25" s="206">
        <v>57200</v>
      </c>
      <c r="K25" s="206">
        <v>58800</v>
      </c>
      <c r="L25" s="206">
        <v>51800</v>
      </c>
      <c r="M25" s="206">
        <v>51500</v>
      </c>
      <c r="N25" s="206">
        <v>46500</v>
      </c>
      <c r="O25" s="206">
        <v>45500</v>
      </c>
    </row>
    <row r="26" spans="1:8" ht="12.75">
      <c r="A26" s="252" t="s">
        <v>38</v>
      </c>
      <c r="B26" s="252"/>
      <c r="C26" s="252"/>
      <c r="D26" s="192"/>
      <c r="E26" s="192"/>
      <c r="F26" s="212"/>
      <c r="H26" s="193"/>
    </row>
    <row r="27" spans="1:8" ht="45" customHeight="1">
      <c r="A27" s="252" t="s">
        <v>76</v>
      </c>
      <c r="B27" s="252"/>
      <c r="C27" s="252"/>
      <c r="D27" s="192"/>
      <c r="E27" s="203" t="s">
        <v>504</v>
      </c>
      <c r="F27" s="212"/>
      <c r="H27" s="193"/>
    </row>
    <row r="28" spans="1:8" ht="22.5">
      <c r="A28" s="252" t="s">
        <v>76</v>
      </c>
      <c r="B28" s="252"/>
      <c r="C28" s="252"/>
      <c r="D28" s="203"/>
      <c r="E28" s="203" t="s">
        <v>498</v>
      </c>
      <c r="F28" s="194"/>
      <c r="H28" s="53"/>
    </row>
    <row r="29" spans="1:8" ht="56.25">
      <c r="A29" s="252" t="s">
        <v>76</v>
      </c>
      <c r="B29" s="252"/>
      <c r="C29" s="252"/>
      <c r="D29" s="203"/>
      <c r="E29" s="203" t="s">
        <v>499</v>
      </c>
      <c r="F29" s="194"/>
      <c r="H29" s="53"/>
    </row>
    <row r="30" spans="1:8" ht="12.75">
      <c r="A30" s="252" t="s">
        <v>76</v>
      </c>
      <c r="B30" s="252"/>
      <c r="C30" s="252"/>
      <c r="D30" s="203"/>
      <c r="E30" s="203" t="s">
        <v>500</v>
      </c>
      <c r="F30" s="194"/>
      <c r="H30" s="53"/>
    </row>
    <row r="31" spans="1:8" ht="30.75">
      <c r="A31" s="252" t="s">
        <v>76</v>
      </c>
      <c r="B31" s="252"/>
      <c r="C31" s="252"/>
      <c r="D31" s="203"/>
      <c r="E31" s="203" t="s">
        <v>501</v>
      </c>
      <c r="F31" s="194"/>
      <c r="H31" s="53"/>
    </row>
    <row r="32" spans="1:8" ht="30.75">
      <c r="A32" s="252" t="s">
        <v>76</v>
      </c>
      <c r="B32" s="252"/>
      <c r="C32" s="252"/>
      <c r="D32" s="203"/>
      <c r="E32" s="203" t="s">
        <v>503</v>
      </c>
      <c r="F32" s="194"/>
      <c r="H32" s="53"/>
    </row>
    <row r="33" spans="1:8" ht="12.75">
      <c r="A33" s="252" t="s">
        <v>76</v>
      </c>
      <c r="B33" s="252"/>
      <c r="C33" s="252"/>
      <c r="D33" s="203"/>
      <c r="E33" s="203" t="s">
        <v>502</v>
      </c>
      <c r="F33" s="194"/>
      <c r="H33" s="53"/>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S58"/>
  <sheetViews>
    <sheetView zoomScaleSheetLayoutView="90" zoomScalePageLayoutView="0" workbookViewId="0" topLeftCell="AG11">
      <selection activeCell="AM67" sqref="AM67"/>
    </sheetView>
  </sheetViews>
  <sheetFormatPr defaultColWidth="9.140625" defaultRowHeight="12.75"/>
  <cols>
    <col min="1" max="1" width="11.140625" style="240" bestFit="1" customWidth="1"/>
    <col min="2" max="2" width="10.00390625" style="92" customWidth="1"/>
    <col min="3" max="3" width="9.7109375" style="92" customWidth="1"/>
    <col min="4" max="4" width="27.57421875" style="92" hidden="1" customWidth="1"/>
    <col min="5" max="5" width="54.57421875" style="92" customWidth="1"/>
    <col min="6" max="15" width="11.00390625" style="92" hidden="1" customWidth="1"/>
    <col min="16" max="18" width="9.140625" style="92" hidden="1" customWidth="1"/>
    <col min="19" max="21" width="10.57421875" style="92" hidden="1" customWidth="1"/>
    <col min="22" max="22" width="10.140625" style="92" hidden="1" customWidth="1"/>
    <col min="23" max="25" width="10.57421875" style="92" hidden="1" customWidth="1"/>
    <col min="26" max="26" width="11.00390625" style="92" hidden="1" customWidth="1"/>
    <col min="27" max="27" width="10.8515625" style="92" hidden="1" customWidth="1"/>
    <col min="28" max="29" width="11.140625" style="92" hidden="1" customWidth="1"/>
    <col min="30" max="32" width="9.140625" style="92" hidden="1" customWidth="1"/>
    <col min="33" max="33" width="9.140625" style="92" customWidth="1"/>
    <col min="34" max="16384" width="9.140625" style="92" customWidth="1"/>
  </cols>
  <sheetData>
    <row r="1" spans="1:34" ht="21">
      <c r="A1" s="249">
        <v>42735</v>
      </c>
      <c r="B1" s="97" t="s">
        <v>141</v>
      </c>
      <c r="C1" s="98"/>
      <c r="D1" s="99" t="str">
        <f>Company</f>
        <v>AB Electrolux</v>
      </c>
      <c r="E1" s="99" t="str">
        <f>Company</f>
        <v>AB Electrolux</v>
      </c>
      <c r="AG1" s="177"/>
      <c r="AH1" s="177"/>
    </row>
    <row r="2" spans="1:5" ht="12.75">
      <c r="A2" s="250"/>
      <c r="B2" s="97" t="s">
        <v>143</v>
      </c>
      <c r="C2" s="98"/>
      <c r="D2" s="100">
        <f>A1</f>
        <v>42735</v>
      </c>
      <c r="E2" s="101">
        <f>A1</f>
        <v>42735</v>
      </c>
    </row>
    <row r="3" spans="1:5" s="40" customFormat="1" ht="12.75">
      <c r="A3" s="250"/>
      <c r="B3" s="97" t="s">
        <v>144</v>
      </c>
      <c r="C3" s="98" t="s">
        <v>145</v>
      </c>
      <c r="D3" s="102" t="s">
        <v>146</v>
      </c>
      <c r="E3" s="102" t="s">
        <v>147</v>
      </c>
    </row>
    <row r="4" spans="1:5" ht="12.75">
      <c r="A4" s="240" t="s">
        <v>34</v>
      </c>
      <c r="B4" s="97" t="s">
        <v>148</v>
      </c>
      <c r="C4" s="40"/>
      <c r="D4" s="34" t="s">
        <v>16</v>
      </c>
      <c r="E4" s="90" t="s">
        <v>575</v>
      </c>
    </row>
    <row r="5" spans="2:5" ht="12.75">
      <c r="B5" s="97" t="s">
        <v>150</v>
      </c>
      <c r="C5" s="103" t="s">
        <v>284</v>
      </c>
      <c r="D5" s="34"/>
      <c r="E5" s="183"/>
    </row>
    <row r="6" spans="1:45" s="153" customFormat="1" ht="12.75">
      <c r="A6" s="245" t="s">
        <v>35</v>
      </c>
      <c r="B6" s="113" t="s">
        <v>149</v>
      </c>
      <c r="C6" s="103" t="s">
        <v>284</v>
      </c>
      <c r="D6" s="103"/>
      <c r="E6" s="126" t="s">
        <v>574</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row>
    <row r="7" spans="1:5" s="33" customFormat="1" ht="12.75">
      <c r="A7" s="238" t="s">
        <v>571</v>
      </c>
      <c r="B7" s="238"/>
      <c r="C7" s="238"/>
      <c r="E7" s="33" t="s">
        <v>31</v>
      </c>
    </row>
    <row r="8" spans="1:25" ht="12.75">
      <c r="A8" s="243" t="s">
        <v>35</v>
      </c>
      <c r="B8" s="240"/>
      <c r="C8" s="240"/>
      <c r="E8" s="75" t="s">
        <v>114</v>
      </c>
      <c r="F8" s="1"/>
      <c r="G8" s="1"/>
      <c r="H8" s="1"/>
      <c r="I8" s="1"/>
      <c r="J8" s="1"/>
      <c r="K8" s="1"/>
      <c r="L8" s="1"/>
      <c r="M8" s="1"/>
      <c r="N8" s="1"/>
      <c r="O8" s="1"/>
      <c r="P8" s="1"/>
      <c r="Q8" s="1"/>
      <c r="R8" s="1"/>
      <c r="S8" s="1"/>
      <c r="T8" s="1"/>
      <c r="U8" s="1"/>
      <c r="V8" s="1"/>
      <c r="W8" s="1"/>
      <c r="X8" s="1"/>
      <c r="Y8" s="1"/>
    </row>
    <row r="9" spans="1:45" ht="12.75">
      <c r="A9" s="240" t="s">
        <v>36</v>
      </c>
      <c r="B9" s="240"/>
      <c r="C9" s="240"/>
      <c r="E9" s="116" t="s">
        <v>401</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-104</v>
      </c>
      <c r="Z9" s="13">
        <v>0</v>
      </c>
      <c r="AA9" s="13">
        <v>0</v>
      </c>
      <c r="AB9" s="13">
        <v>0</v>
      </c>
      <c r="AC9" s="13">
        <v>0</v>
      </c>
      <c r="AD9" s="13">
        <v>0</v>
      </c>
      <c r="AE9" s="13">
        <v>0</v>
      </c>
      <c r="AF9" s="13">
        <v>0</v>
      </c>
      <c r="AG9" s="13">
        <v>0</v>
      </c>
      <c r="AH9" s="13">
        <v>0</v>
      </c>
      <c r="AI9" s="13">
        <v>0</v>
      </c>
      <c r="AJ9" s="9">
        <v>0</v>
      </c>
      <c r="AK9" s="9">
        <v>0</v>
      </c>
      <c r="AL9" s="9">
        <v>0</v>
      </c>
      <c r="AM9" s="9">
        <v>0</v>
      </c>
      <c r="AN9" s="9">
        <v>0</v>
      </c>
      <c r="AO9" s="9">
        <v>0</v>
      </c>
      <c r="AP9" s="9">
        <v>0</v>
      </c>
      <c r="AQ9" s="9">
        <v>0</v>
      </c>
      <c r="AR9" s="9">
        <v>0</v>
      </c>
      <c r="AS9" s="9">
        <v>0</v>
      </c>
    </row>
    <row r="10" spans="1:45" s="17" customFormat="1" ht="12.75">
      <c r="A10" s="240" t="s">
        <v>36</v>
      </c>
      <c r="B10" s="240"/>
      <c r="C10" s="240"/>
      <c r="E10" s="116" t="s">
        <v>373</v>
      </c>
      <c r="F10" s="17">
        <v>0</v>
      </c>
      <c r="G10" s="17">
        <v>0</v>
      </c>
      <c r="H10" s="17">
        <v>0</v>
      </c>
      <c r="I10" s="17">
        <v>0</v>
      </c>
      <c r="J10" s="17">
        <v>0</v>
      </c>
      <c r="K10" s="17">
        <v>0</v>
      </c>
      <c r="L10" s="17">
        <v>0</v>
      </c>
      <c r="M10" s="17">
        <v>0</v>
      </c>
      <c r="N10" s="17">
        <v>0</v>
      </c>
      <c r="O10" s="17">
        <v>0</v>
      </c>
      <c r="P10" s="17">
        <v>0</v>
      </c>
      <c r="Q10" s="17">
        <v>0</v>
      </c>
      <c r="R10" s="17">
        <v>0</v>
      </c>
      <c r="S10" s="17">
        <v>0</v>
      </c>
      <c r="T10" s="17">
        <v>0</v>
      </c>
      <c r="U10" s="13">
        <v>-426</v>
      </c>
      <c r="V10" s="13">
        <v>0</v>
      </c>
      <c r="W10" s="13">
        <v>0</v>
      </c>
      <c r="X10" s="13">
        <v>0</v>
      </c>
      <c r="Y10" s="13">
        <v>0</v>
      </c>
      <c r="Z10" s="13">
        <v>0</v>
      </c>
      <c r="AA10" s="13">
        <v>0</v>
      </c>
      <c r="AB10" s="13">
        <v>0</v>
      </c>
      <c r="AC10" s="13">
        <v>-105</v>
      </c>
      <c r="AD10" s="13">
        <v>0</v>
      </c>
      <c r="AE10" s="13">
        <v>0</v>
      </c>
      <c r="AF10" s="13">
        <v>0</v>
      </c>
      <c r="AG10" s="13">
        <v>0</v>
      </c>
      <c r="AH10" s="13">
        <v>0</v>
      </c>
      <c r="AI10" s="13">
        <v>0</v>
      </c>
      <c r="AJ10" s="9">
        <v>0</v>
      </c>
      <c r="AK10" s="9">
        <v>0</v>
      </c>
      <c r="AL10" s="9">
        <v>0</v>
      </c>
      <c r="AM10" s="9">
        <v>0</v>
      </c>
      <c r="AN10" s="9">
        <v>0</v>
      </c>
      <c r="AO10" s="9">
        <v>0</v>
      </c>
      <c r="AP10" s="9">
        <v>0</v>
      </c>
      <c r="AQ10" s="9">
        <v>0</v>
      </c>
      <c r="AR10" s="9">
        <v>0</v>
      </c>
      <c r="AS10" s="9">
        <v>0</v>
      </c>
    </row>
    <row r="11" spans="1:45" s="17" customFormat="1" ht="12.75">
      <c r="A11" s="240" t="s">
        <v>36</v>
      </c>
      <c r="B11" s="240"/>
      <c r="C11" s="240"/>
      <c r="E11" s="116" t="s">
        <v>374</v>
      </c>
      <c r="F11" s="17">
        <v>0</v>
      </c>
      <c r="G11" s="17">
        <v>0</v>
      </c>
      <c r="H11" s="17">
        <v>0</v>
      </c>
      <c r="I11" s="17">
        <v>0</v>
      </c>
      <c r="J11" s="17">
        <v>0</v>
      </c>
      <c r="K11" s="17">
        <v>0</v>
      </c>
      <c r="L11" s="17">
        <v>0</v>
      </c>
      <c r="M11" s="17">
        <v>0</v>
      </c>
      <c r="N11" s="17">
        <v>0</v>
      </c>
      <c r="O11" s="17">
        <v>0</v>
      </c>
      <c r="P11" s="17">
        <v>0</v>
      </c>
      <c r="Q11" s="17">
        <v>0</v>
      </c>
      <c r="R11" s="17">
        <v>0</v>
      </c>
      <c r="S11" s="17">
        <v>0</v>
      </c>
      <c r="T11" s="17">
        <v>0</v>
      </c>
      <c r="U11" s="13">
        <v>-356</v>
      </c>
      <c r="V11" s="13">
        <v>0</v>
      </c>
      <c r="W11" s="13">
        <v>0</v>
      </c>
      <c r="X11" s="13">
        <v>-54</v>
      </c>
      <c r="Y11" s="13">
        <v>0</v>
      </c>
      <c r="Z11" s="13">
        <v>0</v>
      </c>
      <c r="AA11" s="13">
        <v>0</v>
      </c>
      <c r="AB11" s="13">
        <v>0</v>
      </c>
      <c r="AC11" s="13">
        <v>0</v>
      </c>
      <c r="AD11" s="13">
        <v>0</v>
      </c>
      <c r="AE11" s="13">
        <v>0</v>
      </c>
      <c r="AF11" s="13">
        <v>0</v>
      </c>
      <c r="AG11" s="13">
        <v>0</v>
      </c>
      <c r="AH11" s="13">
        <v>0</v>
      </c>
      <c r="AI11" s="13">
        <v>0</v>
      </c>
      <c r="AJ11" s="9">
        <v>0</v>
      </c>
      <c r="AK11" s="9">
        <v>0</v>
      </c>
      <c r="AL11" s="9">
        <v>0</v>
      </c>
      <c r="AM11" s="9">
        <v>0</v>
      </c>
      <c r="AN11" s="9">
        <v>0</v>
      </c>
      <c r="AO11" s="9">
        <v>0</v>
      </c>
      <c r="AP11" s="9">
        <v>0</v>
      </c>
      <c r="AQ11" s="9">
        <v>0</v>
      </c>
      <c r="AR11" s="9">
        <v>0</v>
      </c>
      <c r="AS11" s="9">
        <v>0</v>
      </c>
    </row>
    <row r="12" spans="1:45" ht="12.75">
      <c r="A12" s="240" t="s">
        <v>36</v>
      </c>
      <c r="B12" s="240"/>
      <c r="C12" s="240"/>
      <c r="E12" s="116" t="s">
        <v>368</v>
      </c>
      <c r="F12" s="17">
        <v>0</v>
      </c>
      <c r="G12" s="17">
        <v>0</v>
      </c>
      <c r="H12" s="17">
        <v>0</v>
      </c>
      <c r="I12" s="17">
        <v>0</v>
      </c>
      <c r="J12" s="17">
        <v>0</v>
      </c>
      <c r="K12" s="17">
        <v>0</v>
      </c>
      <c r="L12" s="17">
        <v>0</v>
      </c>
      <c r="M12" s="17">
        <v>0</v>
      </c>
      <c r="N12" s="17">
        <v>0</v>
      </c>
      <c r="O12" s="17">
        <v>0</v>
      </c>
      <c r="P12" s="17">
        <v>0</v>
      </c>
      <c r="Q12" s="17">
        <v>0</v>
      </c>
      <c r="R12" s="17">
        <v>0</v>
      </c>
      <c r="S12" s="13">
        <v>-71</v>
      </c>
      <c r="T12" s="17">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9">
        <v>0</v>
      </c>
      <c r="AK12" s="9">
        <v>0</v>
      </c>
      <c r="AL12" s="9">
        <v>0</v>
      </c>
      <c r="AM12" s="9">
        <v>0</v>
      </c>
      <c r="AN12" s="9">
        <v>0</v>
      </c>
      <c r="AO12" s="9">
        <v>0</v>
      </c>
      <c r="AP12" s="9">
        <v>0</v>
      </c>
      <c r="AQ12" s="9">
        <v>0</v>
      </c>
      <c r="AR12" s="9">
        <v>0</v>
      </c>
      <c r="AS12" s="9">
        <v>0</v>
      </c>
    </row>
    <row r="13" spans="1:45" ht="12.75">
      <c r="A13" s="240" t="s">
        <v>36</v>
      </c>
      <c r="B13" s="240"/>
      <c r="C13" s="240"/>
      <c r="E13" s="116" t="s">
        <v>369</v>
      </c>
      <c r="F13" s="17">
        <v>0</v>
      </c>
      <c r="G13" s="17">
        <v>0</v>
      </c>
      <c r="H13" s="17">
        <v>0</v>
      </c>
      <c r="I13" s="17">
        <v>0</v>
      </c>
      <c r="J13" s="17">
        <v>0</v>
      </c>
      <c r="K13" s="17">
        <v>0</v>
      </c>
      <c r="L13" s="17">
        <v>0</v>
      </c>
      <c r="M13" s="17">
        <v>0</v>
      </c>
      <c r="N13" s="17">
        <v>0</v>
      </c>
      <c r="O13" s="17">
        <v>0</v>
      </c>
      <c r="P13" s="17">
        <v>0</v>
      </c>
      <c r="Q13" s="17">
        <v>0</v>
      </c>
      <c r="R13" s="17">
        <v>0</v>
      </c>
      <c r="S13" s="13">
        <v>-136</v>
      </c>
      <c r="T13" s="17">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9">
        <v>0</v>
      </c>
      <c r="AK13" s="9">
        <v>0</v>
      </c>
      <c r="AL13" s="9">
        <v>0</v>
      </c>
      <c r="AM13" s="9">
        <v>0</v>
      </c>
      <c r="AN13" s="9">
        <v>0</v>
      </c>
      <c r="AO13" s="9">
        <v>0</v>
      </c>
      <c r="AP13" s="9">
        <v>0</v>
      </c>
      <c r="AQ13" s="9">
        <v>0</v>
      </c>
      <c r="AR13" s="9">
        <v>0</v>
      </c>
      <c r="AS13" s="9">
        <v>0</v>
      </c>
    </row>
    <row r="14" spans="1:45" s="17" customFormat="1" ht="12.75">
      <c r="A14" s="240" t="s">
        <v>36</v>
      </c>
      <c r="B14" s="240"/>
      <c r="C14" s="240"/>
      <c r="E14" s="116" t="s">
        <v>363</v>
      </c>
      <c r="F14" s="13">
        <v>0</v>
      </c>
      <c r="G14" s="13">
        <v>0</v>
      </c>
      <c r="H14" s="13">
        <v>0</v>
      </c>
      <c r="I14" s="13">
        <v>0</v>
      </c>
      <c r="J14" s="13">
        <v>0</v>
      </c>
      <c r="K14" s="13">
        <v>0</v>
      </c>
      <c r="L14" s="13">
        <v>0</v>
      </c>
      <c r="M14" s="13">
        <v>0</v>
      </c>
      <c r="N14" s="13">
        <v>0</v>
      </c>
      <c r="O14" s="13">
        <v>0</v>
      </c>
      <c r="P14" s="13">
        <v>0</v>
      </c>
      <c r="Q14" s="13">
        <v>0</v>
      </c>
      <c r="R14" s="13">
        <v>-95</v>
      </c>
      <c r="S14" s="13">
        <v>0</v>
      </c>
      <c r="T14" s="17">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9">
        <v>0</v>
      </c>
      <c r="AK14" s="9">
        <v>0</v>
      </c>
      <c r="AL14" s="9">
        <v>0</v>
      </c>
      <c r="AM14" s="9">
        <v>0</v>
      </c>
      <c r="AN14" s="9">
        <v>0</v>
      </c>
      <c r="AO14" s="9">
        <v>0</v>
      </c>
      <c r="AP14" s="9">
        <v>0</v>
      </c>
      <c r="AQ14" s="9">
        <v>0</v>
      </c>
      <c r="AR14" s="9">
        <v>0</v>
      </c>
      <c r="AS14" s="9">
        <v>0</v>
      </c>
    </row>
    <row r="15" spans="1:45" ht="12.75">
      <c r="A15" s="240" t="s">
        <v>36</v>
      </c>
      <c r="B15" s="240"/>
      <c r="C15" s="240"/>
      <c r="E15" s="116" t="s">
        <v>356</v>
      </c>
      <c r="F15" s="2">
        <v>0</v>
      </c>
      <c r="G15" s="2">
        <v>0</v>
      </c>
      <c r="H15" s="2">
        <v>0</v>
      </c>
      <c r="I15" s="2">
        <v>0</v>
      </c>
      <c r="J15" s="2">
        <v>0</v>
      </c>
      <c r="K15" s="2">
        <v>0</v>
      </c>
      <c r="L15" s="2">
        <v>0</v>
      </c>
      <c r="M15" s="2">
        <v>0</v>
      </c>
      <c r="N15" s="2">
        <v>0</v>
      </c>
      <c r="O15" s="2">
        <v>0</v>
      </c>
      <c r="P15" s="2">
        <v>0</v>
      </c>
      <c r="Q15" s="13">
        <v>-440</v>
      </c>
      <c r="R15" s="13">
        <v>0</v>
      </c>
      <c r="S15" s="13">
        <v>0</v>
      </c>
      <c r="T15" s="17">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9">
        <v>0</v>
      </c>
      <c r="AK15" s="9">
        <v>0</v>
      </c>
      <c r="AL15" s="9">
        <v>0</v>
      </c>
      <c r="AM15" s="9">
        <v>0</v>
      </c>
      <c r="AN15" s="9">
        <v>0</v>
      </c>
      <c r="AO15" s="9">
        <v>0</v>
      </c>
      <c r="AP15" s="9">
        <v>0</v>
      </c>
      <c r="AQ15" s="9">
        <v>0</v>
      </c>
      <c r="AR15" s="9">
        <v>0</v>
      </c>
      <c r="AS15" s="9">
        <v>0</v>
      </c>
    </row>
    <row r="16" spans="1:45" ht="12.75">
      <c r="A16" s="240" t="s">
        <v>36</v>
      </c>
      <c r="B16" s="240"/>
      <c r="C16" s="240"/>
      <c r="E16" s="116" t="s">
        <v>357</v>
      </c>
      <c r="F16" s="2">
        <v>0</v>
      </c>
      <c r="G16" s="2">
        <v>0</v>
      </c>
      <c r="H16" s="2">
        <v>0</v>
      </c>
      <c r="I16" s="2">
        <v>0</v>
      </c>
      <c r="J16" s="2">
        <v>0</v>
      </c>
      <c r="K16" s="2">
        <v>0</v>
      </c>
      <c r="L16" s="2">
        <v>0</v>
      </c>
      <c r="M16" s="2">
        <v>0</v>
      </c>
      <c r="N16" s="2">
        <v>0</v>
      </c>
      <c r="O16" s="2">
        <v>0</v>
      </c>
      <c r="P16" s="2">
        <v>0</v>
      </c>
      <c r="Q16" s="13">
        <v>-560</v>
      </c>
      <c r="R16" s="13">
        <v>0</v>
      </c>
      <c r="S16" s="13">
        <v>0</v>
      </c>
      <c r="T16" s="17">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9">
        <v>0</v>
      </c>
      <c r="AK16" s="9">
        <v>0</v>
      </c>
      <c r="AL16" s="9">
        <v>0</v>
      </c>
      <c r="AM16" s="9">
        <v>0</v>
      </c>
      <c r="AN16" s="9">
        <v>0</v>
      </c>
      <c r="AO16" s="9">
        <v>0</v>
      </c>
      <c r="AP16" s="9">
        <v>0</v>
      </c>
      <c r="AQ16" s="9">
        <v>0</v>
      </c>
      <c r="AR16" s="9">
        <v>0</v>
      </c>
      <c r="AS16" s="9">
        <v>0</v>
      </c>
    </row>
    <row r="17" spans="1:45" ht="12.75">
      <c r="A17" s="240" t="s">
        <v>36</v>
      </c>
      <c r="B17" s="240"/>
      <c r="C17" s="240"/>
      <c r="E17" s="116" t="s">
        <v>358</v>
      </c>
      <c r="F17" s="2">
        <v>0</v>
      </c>
      <c r="G17" s="2">
        <v>0</v>
      </c>
      <c r="H17" s="2">
        <v>0</v>
      </c>
      <c r="I17" s="2">
        <v>0</v>
      </c>
      <c r="J17" s="2">
        <v>0</v>
      </c>
      <c r="K17" s="2">
        <v>0</v>
      </c>
      <c r="L17" s="2">
        <v>0</v>
      </c>
      <c r="M17" s="2">
        <v>0</v>
      </c>
      <c r="N17" s="2">
        <v>0</v>
      </c>
      <c r="O17" s="2">
        <v>0</v>
      </c>
      <c r="P17" s="2">
        <v>0</v>
      </c>
      <c r="Q17" s="13">
        <v>-218</v>
      </c>
      <c r="R17" s="13">
        <v>0</v>
      </c>
      <c r="S17" s="13">
        <v>0</v>
      </c>
      <c r="T17" s="17">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9">
        <v>0</v>
      </c>
      <c r="AK17" s="9">
        <v>0</v>
      </c>
      <c r="AL17" s="9">
        <v>0</v>
      </c>
      <c r="AM17" s="9">
        <v>0</v>
      </c>
      <c r="AN17" s="9">
        <v>0</v>
      </c>
      <c r="AO17" s="9">
        <v>0</v>
      </c>
      <c r="AP17" s="9">
        <v>0</v>
      </c>
      <c r="AQ17" s="9">
        <v>0</v>
      </c>
      <c r="AR17" s="9">
        <v>0</v>
      </c>
      <c r="AS17" s="9">
        <v>0</v>
      </c>
    </row>
    <row r="18" spans="1:45" ht="12.75">
      <c r="A18" s="240" t="s">
        <v>36</v>
      </c>
      <c r="B18" s="240"/>
      <c r="C18" s="240"/>
      <c r="E18" s="104" t="s">
        <v>115</v>
      </c>
      <c r="F18" s="2">
        <v>0</v>
      </c>
      <c r="G18" s="2">
        <v>0</v>
      </c>
      <c r="H18" s="2">
        <v>0</v>
      </c>
      <c r="I18" s="2">
        <v>0</v>
      </c>
      <c r="J18" s="2">
        <v>0</v>
      </c>
      <c r="K18" s="2">
        <v>0</v>
      </c>
      <c r="L18" s="2">
        <v>0</v>
      </c>
      <c r="M18" s="2">
        <v>0</v>
      </c>
      <c r="N18" s="2">
        <v>-187</v>
      </c>
      <c r="O18" s="2">
        <v>25</v>
      </c>
      <c r="P18" s="2">
        <v>0</v>
      </c>
      <c r="Q18" s="2">
        <v>0</v>
      </c>
      <c r="R18" s="2">
        <v>0</v>
      </c>
      <c r="S18" s="2">
        <v>0</v>
      </c>
      <c r="T18" s="17">
        <v>0</v>
      </c>
      <c r="U18" s="2">
        <v>0</v>
      </c>
      <c r="V18" s="2">
        <v>0</v>
      </c>
      <c r="W18" s="2">
        <v>0</v>
      </c>
      <c r="X18" s="2">
        <v>0</v>
      </c>
      <c r="Y18" s="2">
        <v>0</v>
      </c>
      <c r="Z18" s="13">
        <v>0</v>
      </c>
      <c r="AA18" s="13">
        <v>0</v>
      </c>
      <c r="AB18" s="13">
        <v>0</v>
      </c>
      <c r="AC18" s="13">
        <v>0</v>
      </c>
      <c r="AD18" s="13">
        <v>0</v>
      </c>
      <c r="AE18" s="13">
        <v>0</v>
      </c>
      <c r="AF18" s="13">
        <v>0</v>
      </c>
      <c r="AG18" s="13">
        <v>0</v>
      </c>
      <c r="AH18" s="13">
        <v>0</v>
      </c>
      <c r="AI18" s="13">
        <v>0</v>
      </c>
      <c r="AJ18" s="9">
        <v>0</v>
      </c>
      <c r="AK18" s="9">
        <v>0</v>
      </c>
      <c r="AL18" s="9">
        <v>0</v>
      </c>
      <c r="AM18" s="9">
        <v>0</v>
      </c>
      <c r="AN18" s="9">
        <v>0</v>
      </c>
      <c r="AO18" s="9">
        <v>0</v>
      </c>
      <c r="AP18" s="9">
        <v>0</v>
      </c>
      <c r="AQ18" s="9">
        <v>0</v>
      </c>
      <c r="AR18" s="9">
        <v>0</v>
      </c>
      <c r="AS18" s="9">
        <v>0</v>
      </c>
    </row>
    <row r="19" spans="1:45" ht="12.75">
      <c r="A19" s="240" t="s">
        <v>36</v>
      </c>
      <c r="B19" s="240"/>
      <c r="C19" s="240"/>
      <c r="E19" s="104" t="s">
        <v>116</v>
      </c>
      <c r="F19" s="2">
        <v>0</v>
      </c>
      <c r="G19" s="2">
        <v>0</v>
      </c>
      <c r="H19" s="2">
        <v>0</v>
      </c>
      <c r="I19" s="2">
        <v>0</v>
      </c>
      <c r="J19" s="2">
        <v>0</v>
      </c>
      <c r="K19" s="2">
        <v>0</v>
      </c>
      <c r="L19" s="2">
        <v>0</v>
      </c>
      <c r="M19" s="2">
        <v>0</v>
      </c>
      <c r="N19" s="2">
        <v>-132</v>
      </c>
      <c r="O19" s="2">
        <v>0</v>
      </c>
      <c r="P19" s="2">
        <v>0</v>
      </c>
      <c r="Q19" s="2">
        <v>0</v>
      </c>
      <c r="R19" s="2">
        <v>0</v>
      </c>
      <c r="S19" s="2">
        <v>0</v>
      </c>
      <c r="T19" s="17">
        <v>0</v>
      </c>
      <c r="U19" s="2">
        <v>0</v>
      </c>
      <c r="V19" s="2">
        <v>0</v>
      </c>
      <c r="W19" s="2">
        <v>0</v>
      </c>
      <c r="X19" s="2">
        <v>0</v>
      </c>
      <c r="Y19" s="2">
        <v>0</v>
      </c>
      <c r="Z19" s="13">
        <v>0</v>
      </c>
      <c r="AA19" s="13">
        <v>0</v>
      </c>
      <c r="AB19" s="13">
        <v>0</v>
      </c>
      <c r="AC19" s="13">
        <v>0</v>
      </c>
      <c r="AD19" s="13">
        <v>0</v>
      </c>
      <c r="AE19" s="13">
        <v>0</v>
      </c>
      <c r="AF19" s="13">
        <v>0</v>
      </c>
      <c r="AG19" s="13">
        <v>0</v>
      </c>
      <c r="AH19" s="13">
        <v>0</v>
      </c>
      <c r="AI19" s="13">
        <v>0</v>
      </c>
      <c r="AJ19" s="9">
        <v>0</v>
      </c>
      <c r="AK19" s="9">
        <v>0</v>
      </c>
      <c r="AL19" s="9">
        <v>0</v>
      </c>
      <c r="AM19" s="9">
        <v>0</v>
      </c>
      <c r="AN19" s="9">
        <v>0</v>
      </c>
      <c r="AO19" s="9">
        <v>0</v>
      </c>
      <c r="AP19" s="9">
        <v>0</v>
      </c>
      <c r="AQ19" s="9">
        <v>0</v>
      </c>
      <c r="AR19" s="9">
        <v>0</v>
      </c>
      <c r="AS19" s="9">
        <v>0</v>
      </c>
    </row>
    <row r="20" spans="1:45" ht="12.75">
      <c r="A20" s="240" t="s">
        <v>36</v>
      </c>
      <c r="B20" s="240"/>
      <c r="C20" s="240"/>
      <c r="E20" s="104" t="s">
        <v>117</v>
      </c>
      <c r="F20" s="2">
        <v>0</v>
      </c>
      <c r="G20" s="2">
        <v>0</v>
      </c>
      <c r="H20" s="2">
        <v>0</v>
      </c>
      <c r="I20" s="2">
        <v>0</v>
      </c>
      <c r="J20" s="2">
        <v>0</v>
      </c>
      <c r="K20" s="2">
        <v>0</v>
      </c>
      <c r="L20" s="2">
        <v>0</v>
      </c>
      <c r="M20" s="2">
        <v>0</v>
      </c>
      <c r="N20" s="2">
        <v>-105</v>
      </c>
      <c r="O20" s="2">
        <v>0</v>
      </c>
      <c r="P20" s="2">
        <v>0</v>
      </c>
      <c r="Q20" s="2">
        <v>0</v>
      </c>
      <c r="R20" s="2">
        <v>0</v>
      </c>
      <c r="S20" s="2">
        <v>0</v>
      </c>
      <c r="T20" s="17">
        <v>0</v>
      </c>
      <c r="U20" s="2">
        <v>0</v>
      </c>
      <c r="V20" s="2">
        <v>0</v>
      </c>
      <c r="W20" s="2">
        <v>0</v>
      </c>
      <c r="X20" s="2">
        <v>0</v>
      </c>
      <c r="Y20" s="2">
        <v>0</v>
      </c>
      <c r="Z20" s="13">
        <v>0</v>
      </c>
      <c r="AA20" s="13">
        <v>0</v>
      </c>
      <c r="AB20" s="13">
        <v>0</v>
      </c>
      <c r="AC20" s="13">
        <v>0</v>
      </c>
      <c r="AD20" s="13">
        <v>0</v>
      </c>
      <c r="AE20" s="13">
        <v>0</v>
      </c>
      <c r="AF20" s="13">
        <v>0</v>
      </c>
      <c r="AG20" s="13">
        <v>0</v>
      </c>
      <c r="AH20" s="13">
        <v>0</v>
      </c>
      <c r="AI20" s="13">
        <v>0</v>
      </c>
      <c r="AJ20" s="9">
        <v>0</v>
      </c>
      <c r="AK20" s="9">
        <v>0</v>
      </c>
      <c r="AL20" s="9">
        <v>0</v>
      </c>
      <c r="AM20" s="9">
        <v>0</v>
      </c>
      <c r="AN20" s="9">
        <v>0</v>
      </c>
      <c r="AO20" s="9">
        <v>0</v>
      </c>
      <c r="AP20" s="9">
        <v>0</v>
      </c>
      <c r="AQ20" s="9">
        <v>0</v>
      </c>
      <c r="AR20" s="9">
        <v>0</v>
      </c>
      <c r="AS20" s="9">
        <v>0</v>
      </c>
    </row>
    <row r="21" spans="1:45" ht="12.75">
      <c r="A21" s="240" t="s">
        <v>36</v>
      </c>
      <c r="B21" s="240"/>
      <c r="C21" s="240"/>
      <c r="E21" s="92" t="s">
        <v>118</v>
      </c>
      <c r="F21" s="2">
        <v>0</v>
      </c>
      <c r="G21" s="2">
        <v>0</v>
      </c>
      <c r="H21" s="2">
        <v>0</v>
      </c>
      <c r="I21" s="2">
        <v>0</v>
      </c>
      <c r="J21" s="2">
        <v>0</v>
      </c>
      <c r="K21" s="92">
        <v>-539</v>
      </c>
      <c r="L21" s="92">
        <v>55</v>
      </c>
      <c r="M21" s="92">
        <v>-3</v>
      </c>
      <c r="N21" s="2">
        <v>0</v>
      </c>
      <c r="O21" s="92">
        <v>0</v>
      </c>
      <c r="P21" s="92">
        <v>0</v>
      </c>
      <c r="Q21" s="92">
        <v>0</v>
      </c>
      <c r="R21" s="92">
        <v>0</v>
      </c>
      <c r="S21" s="92">
        <v>0</v>
      </c>
      <c r="T21" s="17">
        <v>0</v>
      </c>
      <c r="U21" s="92">
        <v>0</v>
      </c>
      <c r="V21" s="92">
        <v>0</v>
      </c>
      <c r="W21" s="92">
        <v>0</v>
      </c>
      <c r="X21" s="92">
        <v>0</v>
      </c>
      <c r="Y21" s="92">
        <v>0</v>
      </c>
      <c r="Z21" s="13">
        <v>0</v>
      </c>
      <c r="AA21" s="13">
        <v>0</v>
      </c>
      <c r="AB21" s="13">
        <v>0</v>
      </c>
      <c r="AC21" s="13">
        <v>0</v>
      </c>
      <c r="AD21" s="13">
        <v>0</v>
      </c>
      <c r="AE21" s="13">
        <v>0</v>
      </c>
      <c r="AF21" s="13">
        <v>0</v>
      </c>
      <c r="AG21" s="13">
        <v>0</v>
      </c>
      <c r="AH21" s="13">
        <v>0</v>
      </c>
      <c r="AI21" s="13">
        <v>0</v>
      </c>
      <c r="AJ21" s="9">
        <v>0</v>
      </c>
      <c r="AK21" s="9">
        <v>0</v>
      </c>
      <c r="AL21" s="9">
        <v>0</v>
      </c>
      <c r="AM21" s="9">
        <v>0</v>
      </c>
      <c r="AN21" s="9">
        <v>0</v>
      </c>
      <c r="AO21" s="9">
        <v>0</v>
      </c>
      <c r="AP21" s="9">
        <v>0</v>
      </c>
      <c r="AQ21" s="9">
        <v>0</v>
      </c>
      <c r="AR21" s="9">
        <v>0</v>
      </c>
      <c r="AS21" s="9">
        <v>0</v>
      </c>
    </row>
    <row r="22" spans="1:45" ht="12.75">
      <c r="A22" s="240" t="s">
        <v>36</v>
      </c>
      <c r="B22" s="240"/>
      <c r="C22" s="240"/>
      <c r="E22" s="92" t="s">
        <v>120</v>
      </c>
      <c r="F22" s="2">
        <v>0</v>
      </c>
      <c r="G22" s="2">
        <v>0</v>
      </c>
      <c r="H22" s="2">
        <v>0</v>
      </c>
      <c r="I22" s="2">
        <v>-317</v>
      </c>
      <c r="J22" s="2">
        <v>0</v>
      </c>
      <c r="K22" s="2">
        <v>0</v>
      </c>
      <c r="L22" s="2">
        <v>0</v>
      </c>
      <c r="M22" s="2">
        <v>0</v>
      </c>
      <c r="N22" s="2">
        <v>0</v>
      </c>
      <c r="O22" s="2">
        <v>0</v>
      </c>
      <c r="P22" s="2">
        <v>0</v>
      </c>
      <c r="Q22" s="2">
        <v>0</v>
      </c>
      <c r="R22" s="2">
        <v>0</v>
      </c>
      <c r="S22" s="2">
        <v>0</v>
      </c>
      <c r="T22" s="17">
        <v>0</v>
      </c>
      <c r="U22" s="2">
        <v>0</v>
      </c>
      <c r="V22" s="2">
        <v>0</v>
      </c>
      <c r="W22" s="2">
        <v>0</v>
      </c>
      <c r="X22" s="2">
        <v>0</v>
      </c>
      <c r="Y22" s="2">
        <v>0</v>
      </c>
      <c r="Z22" s="13">
        <v>0</v>
      </c>
      <c r="AA22" s="13">
        <v>0</v>
      </c>
      <c r="AB22" s="13">
        <v>0</v>
      </c>
      <c r="AC22" s="13">
        <v>0</v>
      </c>
      <c r="AD22" s="13">
        <v>0</v>
      </c>
      <c r="AE22" s="13">
        <v>0</v>
      </c>
      <c r="AF22" s="13">
        <v>0</v>
      </c>
      <c r="AG22" s="13">
        <v>0</v>
      </c>
      <c r="AH22" s="13">
        <v>0</v>
      </c>
      <c r="AI22" s="13">
        <v>0</v>
      </c>
      <c r="AJ22" s="9">
        <v>0</v>
      </c>
      <c r="AK22" s="9">
        <v>0</v>
      </c>
      <c r="AL22" s="9">
        <v>0</v>
      </c>
      <c r="AM22" s="9">
        <v>0</v>
      </c>
      <c r="AN22" s="9">
        <v>0</v>
      </c>
      <c r="AO22" s="9">
        <v>0</v>
      </c>
      <c r="AP22" s="9">
        <v>0</v>
      </c>
      <c r="AQ22" s="9">
        <v>0</v>
      </c>
      <c r="AR22" s="9">
        <v>0</v>
      </c>
      <c r="AS22" s="9">
        <v>0</v>
      </c>
    </row>
    <row r="23" spans="1:45" ht="12.75">
      <c r="A23" s="240" t="s">
        <v>36</v>
      </c>
      <c r="B23" s="240"/>
      <c r="C23" s="240"/>
      <c r="E23" s="92" t="s">
        <v>121</v>
      </c>
      <c r="F23" s="2"/>
      <c r="G23" s="2">
        <v>-31</v>
      </c>
      <c r="H23" s="2">
        <v>0</v>
      </c>
      <c r="I23" s="2">
        <v>-14</v>
      </c>
      <c r="J23" s="2">
        <v>0</v>
      </c>
      <c r="K23" s="2">
        <v>0</v>
      </c>
      <c r="L23" s="2">
        <v>0</v>
      </c>
      <c r="M23" s="2">
        <v>0</v>
      </c>
      <c r="N23" s="2">
        <v>0</v>
      </c>
      <c r="O23" s="2">
        <v>0</v>
      </c>
      <c r="P23" s="2">
        <v>0</v>
      </c>
      <c r="Q23" s="2">
        <v>0</v>
      </c>
      <c r="R23" s="2">
        <v>0</v>
      </c>
      <c r="S23" s="2">
        <v>0</v>
      </c>
      <c r="T23" s="17">
        <v>0</v>
      </c>
      <c r="U23" s="2">
        <v>0</v>
      </c>
      <c r="V23" s="2">
        <v>0</v>
      </c>
      <c r="W23" s="2">
        <v>0</v>
      </c>
      <c r="X23" s="2">
        <v>0</v>
      </c>
      <c r="Y23" s="2">
        <v>0</v>
      </c>
      <c r="Z23" s="13">
        <v>0</v>
      </c>
      <c r="AA23" s="13">
        <v>0</v>
      </c>
      <c r="AB23" s="13">
        <v>0</v>
      </c>
      <c r="AC23" s="13">
        <v>0</v>
      </c>
      <c r="AD23" s="13">
        <v>0</v>
      </c>
      <c r="AE23" s="13">
        <v>0</v>
      </c>
      <c r="AF23" s="13">
        <v>0</v>
      </c>
      <c r="AG23" s="13">
        <v>0</v>
      </c>
      <c r="AH23" s="13">
        <v>0</v>
      </c>
      <c r="AI23" s="13">
        <v>0</v>
      </c>
      <c r="AJ23" s="9">
        <v>0</v>
      </c>
      <c r="AK23" s="9">
        <v>0</v>
      </c>
      <c r="AL23" s="9">
        <v>0</v>
      </c>
      <c r="AM23" s="9">
        <v>0</v>
      </c>
      <c r="AN23" s="9">
        <v>0</v>
      </c>
      <c r="AO23" s="9">
        <v>0</v>
      </c>
      <c r="AP23" s="9">
        <v>0</v>
      </c>
      <c r="AQ23" s="9">
        <v>0</v>
      </c>
      <c r="AR23" s="9">
        <v>0</v>
      </c>
      <c r="AS23" s="9">
        <v>0</v>
      </c>
    </row>
    <row r="24" spans="1:45" ht="12.75">
      <c r="A24" s="240" t="s">
        <v>36</v>
      </c>
      <c r="B24" s="240"/>
      <c r="C24" s="240"/>
      <c r="E24" s="40" t="s">
        <v>437</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-927</v>
      </c>
      <c r="AD24" s="13">
        <v>-82</v>
      </c>
      <c r="AE24" s="13">
        <v>0</v>
      </c>
      <c r="AF24" s="13">
        <v>0</v>
      </c>
      <c r="AG24" s="13">
        <v>-512</v>
      </c>
      <c r="AH24" s="13">
        <v>0</v>
      </c>
      <c r="AI24" s="13">
        <v>-923</v>
      </c>
      <c r="AJ24" s="9">
        <v>0</v>
      </c>
      <c r="AK24" s="9">
        <v>-250</v>
      </c>
      <c r="AL24" s="9">
        <v>0</v>
      </c>
      <c r="AM24" s="9">
        <v>0</v>
      </c>
      <c r="AN24" s="9">
        <v>0</v>
      </c>
      <c r="AO24" s="9">
        <v>0</v>
      </c>
      <c r="AP24" s="9">
        <v>0</v>
      </c>
      <c r="AQ24" s="9">
        <v>0</v>
      </c>
      <c r="AR24" s="9">
        <v>0</v>
      </c>
      <c r="AS24" s="9">
        <v>0</v>
      </c>
    </row>
    <row r="25" spans="1:45" ht="12.75">
      <c r="A25" s="240" t="s">
        <v>36</v>
      </c>
      <c r="B25" s="240"/>
      <c r="C25" s="240"/>
      <c r="E25" s="40" t="s">
        <v>438</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-975</v>
      </c>
      <c r="AH25" s="13">
        <v>-18</v>
      </c>
      <c r="AI25" s="13">
        <v>-181</v>
      </c>
      <c r="AJ25" s="9">
        <v>0</v>
      </c>
      <c r="AK25" s="9">
        <v>0</v>
      </c>
      <c r="AL25" s="9">
        <v>0</v>
      </c>
      <c r="AM25" s="9">
        <v>0</v>
      </c>
      <c r="AN25" s="9">
        <v>0</v>
      </c>
      <c r="AO25" s="9">
        <v>0</v>
      </c>
      <c r="AP25" s="9">
        <v>0</v>
      </c>
      <c r="AQ25" s="9">
        <v>0</v>
      </c>
      <c r="AR25" s="9">
        <v>0</v>
      </c>
      <c r="AS25" s="9">
        <v>0</v>
      </c>
    </row>
    <row r="26" spans="1:45" ht="12.75">
      <c r="A26" s="240" t="s">
        <v>36</v>
      </c>
      <c r="B26" s="240"/>
      <c r="C26" s="240"/>
      <c r="E26" s="40" t="s">
        <v>434</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-906</v>
      </c>
      <c r="AH26" s="13">
        <v>0</v>
      </c>
      <c r="AI26" s="13">
        <v>0</v>
      </c>
      <c r="AJ26" s="9">
        <v>0</v>
      </c>
      <c r="AK26" s="9">
        <v>0</v>
      </c>
      <c r="AL26" s="9">
        <v>0</v>
      </c>
      <c r="AM26" s="9">
        <v>0</v>
      </c>
      <c r="AN26" s="9">
        <v>0</v>
      </c>
      <c r="AO26" s="9">
        <v>0</v>
      </c>
      <c r="AP26" s="9">
        <v>0</v>
      </c>
      <c r="AQ26" s="9">
        <v>0</v>
      </c>
      <c r="AR26" s="9">
        <v>0</v>
      </c>
      <c r="AS26" s="9">
        <v>0</v>
      </c>
    </row>
    <row r="27" spans="1:45" ht="12.75">
      <c r="A27" s="240" t="s">
        <v>36</v>
      </c>
      <c r="B27" s="240"/>
      <c r="C27" s="240"/>
      <c r="E27" s="92" t="s">
        <v>119</v>
      </c>
      <c r="F27" s="2">
        <v>0</v>
      </c>
      <c r="G27" s="2">
        <v>0</v>
      </c>
      <c r="H27" s="2">
        <v>0</v>
      </c>
      <c r="I27" s="2">
        <v>0</v>
      </c>
      <c r="J27" s="92">
        <v>34</v>
      </c>
      <c r="K27" s="92">
        <v>0</v>
      </c>
      <c r="L27" s="92">
        <v>53</v>
      </c>
      <c r="M27" s="92">
        <v>45</v>
      </c>
      <c r="N27" s="2">
        <v>0</v>
      </c>
      <c r="O27" s="92">
        <v>0</v>
      </c>
      <c r="P27" s="92">
        <v>56</v>
      </c>
      <c r="Q27" s="92">
        <v>0</v>
      </c>
      <c r="R27" s="92">
        <v>0</v>
      </c>
      <c r="S27" s="2">
        <v>0</v>
      </c>
      <c r="T27" s="17">
        <v>0</v>
      </c>
      <c r="U27" s="2">
        <v>20</v>
      </c>
      <c r="V27" s="2">
        <v>0</v>
      </c>
      <c r="W27" s="2">
        <v>0</v>
      </c>
      <c r="X27" s="2">
        <v>20</v>
      </c>
      <c r="Y27" s="2">
        <v>0</v>
      </c>
      <c r="Z27" s="13">
        <v>0</v>
      </c>
      <c r="AA27" s="13">
        <v>0</v>
      </c>
      <c r="AB27" s="13">
        <v>0</v>
      </c>
      <c r="AC27" s="13">
        <v>0</v>
      </c>
      <c r="AD27" s="13">
        <v>0</v>
      </c>
      <c r="AE27" s="13">
        <v>0</v>
      </c>
      <c r="AF27" s="13">
        <v>0</v>
      </c>
      <c r="AG27" s="13">
        <v>0</v>
      </c>
      <c r="AH27" s="13">
        <v>0</v>
      </c>
      <c r="AI27" s="13">
        <v>0</v>
      </c>
      <c r="AJ27" s="9">
        <v>0</v>
      </c>
      <c r="AK27" s="9">
        <v>173</v>
      </c>
      <c r="AL27" s="9">
        <v>0</v>
      </c>
      <c r="AM27" s="9">
        <v>0</v>
      </c>
      <c r="AN27" s="9">
        <v>0</v>
      </c>
      <c r="AO27" s="9">
        <v>0</v>
      </c>
      <c r="AP27" s="9">
        <v>0</v>
      </c>
      <c r="AQ27" s="9">
        <v>0</v>
      </c>
      <c r="AR27" s="9">
        <v>0</v>
      </c>
      <c r="AS27" s="9">
        <v>0</v>
      </c>
    </row>
    <row r="28" spans="1:45" ht="12.75">
      <c r="A28" s="240" t="s">
        <v>36</v>
      </c>
      <c r="B28" s="240"/>
      <c r="C28" s="240"/>
      <c r="E28" s="40" t="s">
        <v>513</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-50</v>
      </c>
      <c r="AK28" s="9">
        <v>-99</v>
      </c>
      <c r="AL28" s="106">
        <v>-64</v>
      </c>
      <c r="AM28" s="106">
        <v>-194</v>
      </c>
      <c r="AN28" s="106">
        <v>-142</v>
      </c>
      <c r="AO28" s="106">
        <v>-1659</v>
      </c>
      <c r="AP28" s="106">
        <v>0</v>
      </c>
      <c r="AQ28" s="106">
        <v>0</v>
      </c>
      <c r="AR28" s="106">
        <v>0</v>
      </c>
      <c r="AS28" s="106">
        <v>0</v>
      </c>
    </row>
    <row r="29" spans="1:45" ht="12.75">
      <c r="A29" s="240" t="s">
        <v>36</v>
      </c>
      <c r="B29" s="240"/>
      <c r="C29" s="240"/>
      <c r="E29" s="40" t="s">
        <v>514</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9">
        <v>0</v>
      </c>
      <c r="AM29" s="9">
        <v>0</v>
      </c>
      <c r="AN29" s="9">
        <v>0</v>
      </c>
      <c r="AO29" s="106">
        <v>-190</v>
      </c>
      <c r="AP29" s="9">
        <v>0</v>
      </c>
      <c r="AQ29" s="9">
        <v>0</v>
      </c>
      <c r="AR29" s="9">
        <v>0</v>
      </c>
      <c r="AS29" s="106">
        <v>0</v>
      </c>
    </row>
    <row r="30" spans="1:45" ht="12.75">
      <c r="A30" s="240" t="s">
        <v>37</v>
      </c>
      <c r="B30" s="240"/>
      <c r="C30" s="240"/>
      <c r="E30" s="34" t="s">
        <v>27</v>
      </c>
      <c r="F30" s="145">
        <f>SUM(F18:F27)</f>
        <v>0</v>
      </c>
      <c r="G30" s="145">
        <f>SUM(G18:G27)</f>
        <v>-31</v>
      </c>
      <c r="H30" s="145">
        <f>SUM(H18:H27)</f>
        <v>0</v>
      </c>
      <c r="I30" s="145">
        <f>SUM(I18:I27)</f>
        <v>-331</v>
      </c>
      <c r="J30" s="145">
        <f>SUM(J18:J27)</f>
        <v>34</v>
      </c>
      <c r="K30" s="34">
        <v>-539</v>
      </c>
      <c r="L30" s="145">
        <f>SUM(L18:L27)</f>
        <v>108</v>
      </c>
      <c r="M30" s="145">
        <f>SUM(M18:M27)</f>
        <v>42</v>
      </c>
      <c r="N30" s="145">
        <f>SUM(N18:N27)</f>
        <v>-424</v>
      </c>
      <c r="O30" s="34">
        <v>25</v>
      </c>
      <c r="P30" s="34">
        <v>56</v>
      </c>
      <c r="Q30" s="34">
        <v>-1218</v>
      </c>
      <c r="R30" s="34">
        <v>-95</v>
      </c>
      <c r="S30" s="34">
        <v>-207</v>
      </c>
      <c r="T30" s="90">
        <v>0</v>
      </c>
      <c r="U30" s="34">
        <v>-762</v>
      </c>
      <c r="V30" s="34">
        <v>0</v>
      </c>
      <c r="W30" s="34">
        <v>0</v>
      </c>
      <c r="X30" s="34">
        <v>-34</v>
      </c>
      <c r="Y30" s="34">
        <v>-104</v>
      </c>
      <c r="Z30" s="34">
        <v>0</v>
      </c>
      <c r="AA30" s="34">
        <v>0</v>
      </c>
      <c r="AB30" s="34">
        <v>0</v>
      </c>
      <c r="AC30" s="130">
        <v>-1032</v>
      </c>
      <c r="AD30" s="130">
        <v>-82</v>
      </c>
      <c r="AE30" s="130">
        <v>0</v>
      </c>
      <c r="AF30" s="130">
        <v>0</v>
      </c>
      <c r="AG30" s="130">
        <v>-2393</v>
      </c>
      <c r="AH30" s="130">
        <v>-18</v>
      </c>
      <c r="AI30" s="130">
        <v>-1104</v>
      </c>
      <c r="AJ30" s="130">
        <v>-50</v>
      </c>
      <c r="AK30" s="130">
        <v>-176</v>
      </c>
      <c r="AL30" s="130">
        <v>-64</v>
      </c>
      <c r="AM30" s="130">
        <v>-194</v>
      </c>
      <c r="AN30" s="130">
        <v>-142</v>
      </c>
      <c r="AO30" s="130">
        <v>-1849</v>
      </c>
      <c r="AP30" s="130">
        <v>0</v>
      </c>
      <c r="AQ30" s="130">
        <v>0</v>
      </c>
      <c r="AR30" s="130">
        <v>0</v>
      </c>
      <c r="AS30" s="130">
        <v>0</v>
      </c>
    </row>
    <row r="31" spans="1:45" ht="12.75">
      <c r="A31" s="240" t="s">
        <v>38</v>
      </c>
      <c r="B31" s="240"/>
      <c r="C31" s="240"/>
      <c r="F31" s="34"/>
      <c r="G31" s="34"/>
      <c r="H31" s="34"/>
      <c r="I31" s="34"/>
      <c r="J31" s="34"/>
      <c r="K31" s="34"/>
      <c r="L31" s="34"/>
      <c r="M31" s="34"/>
      <c r="N31" s="34"/>
      <c r="O31" s="34"/>
      <c r="P31" s="34"/>
      <c r="Q31" s="34"/>
      <c r="R31" s="34"/>
      <c r="S31" s="34"/>
      <c r="T31" s="17"/>
      <c r="U31" s="34"/>
      <c r="V31" s="34"/>
      <c r="W31" s="34"/>
      <c r="X31" s="34"/>
      <c r="Y31" s="34"/>
      <c r="AL31" s="106"/>
      <c r="AM31" s="106"/>
      <c r="AN31" s="106"/>
      <c r="AO31" s="106"/>
      <c r="AP31" s="106"/>
      <c r="AQ31" s="106"/>
      <c r="AR31" s="106"/>
      <c r="AS31" s="106"/>
    </row>
    <row r="32" spans="1:45" s="153" customFormat="1" ht="12.75">
      <c r="A32" s="245" t="s">
        <v>35</v>
      </c>
      <c r="B32" s="245"/>
      <c r="C32" s="245"/>
      <c r="E32" s="154" t="s">
        <v>33</v>
      </c>
      <c r="F32" s="155" t="s">
        <v>0</v>
      </c>
      <c r="G32" s="155" t="s">
        <v>1</v>
      </c>
      <c r="H32" s="155" t="s">
        <v>2</v>
      </c>
      <c r="I32" s="155" t="s">
        <v>3</v>
      </c>
      <c r="J32" s="155" t="s">
        <v>4</v>
      </c>
      <c r="K32" s="155" t="s">
        <v>5</v>
      </c>
      <c r="L32" s="155" t="s">
        <v>6</v>
      </c>
      <c r="M32" s="155" t="s">
        <v>7</v>
      </c>
      <c r="N32" s="155" t="s">
        <v>8</v>
      </c>
      <c r="O32" s="155" t="s">
        <v>9</v>
      </c>
      <c r="P32" s="155" t="s">
        <v>338</v>
      </c>
      <c r="Q32" s="155" t="s">
        <v>355</v>
      </c>
      <c r="R32" s="155" t="s">
        <v>362</v>
      </c>
      <c r="S32" s="155" t="s">
        <v>367</v>
      </c>
      <c r="T32" s="126" t="s">
        <v>371</v>
      </c>
      <c r="U32" s="155" t="s">
        <v>371</v>
      </c>
      <c r="V32" s="155" t="s">
        <v>378</v>
      </c>
      <c r="W32" s="155" t="s">
        <v>397</v>
      </c>
      <c r="X32" s="155" t="s">
        <v>398</v>
      </c>
      <c r="Y32" s="87" t="s">
        <v>400</v>
      </c>
      <c r="Z32" s="87" t="s">
        <v>405</v>
      </c>
      <c r="AA32" s="87" t="s">
        <v>409</v>
      </c>
      <c r="AB32" s="87" t="s">
        <v>411</v>
      </c>
      <c r="AC32" s="87" t="s">
        <v>414</v>
      </c>
      <c r="AD32" s="87" t="s">
        <v>421</v>
      </c>
      <c r="AE32" s="87" t="s">
        <v>429</v>
      </c>
      <c r="AF32" s="87" t="s">
        <v>431</v>
      </c>
      <c r="AG32" s="87" t="s">
        <v>432</v>
      </c>
      <c r="AH32" s="87" t="s">
        <v>440</v>
      </c>
      <c r="AI32" s="87" t="s">
        <v>441</v>
      </c>
      <c r="AJ32" s="87" t="s">
        <v>442</v>
      </c>
      <c r="AK32" s="87" t="s">
        <v>443</v>
      </c>
      <c r="AL32" s="222" t="s">
        <v>445</v>
      </c>
      <c r="AM32" s="222" t="s">
        <v>447</v>
      </c>
      <c r="AN32" s="222" t="s">
        <v>448</v>
      </c>
      <c r="AO32" s="222" t="s">
        <v>467</v>
      </c>
      <c r="AP32" s="222" t="s">
        <v>469</v>
      </c>
      <c r="AQ32" s="222" t="s">
        <v>471</v>
      </c>
      <c r="AR32" s="222" t="s">
        <v>605</v>
      </c>
      <c r="AS32" s="222" t="s">
        <v>608</v>
      </c>
    </row>
    <row r="33" spans="1:45" s="33" customFormat="1" ht="12.75">
      <c r="A33" s="238" t="s">
        <v>571</v>
      </c>
      <c r="B33" s="238"/>
      <c r="C33" s="238"/>
      <c r="E33" s="33" t="s">
        <v>31</v>
      </c>
      <c r="F33" s="32"/>
      <c r="G33" s="32"/>
      <c r="H33" s="32"/>
      <c r="I33" s="32"/>
      <c r="J33" s="32"/>
      <c r="K33" s="32"/>
      <c r="L33" s="32"/>
      <c r="M33" s="32"/>
      <c r="N33" s="32"/>
      <c r="O33" s="32"/>
      <c r="P33" s="32"/>
      <c r="Q33" s="32"/>
      <c r="R33" s="32"/>
      <c r="S33" s="32"/>
      <c r="U33" s="32"/>
      <c r="V33" s="32"/>
      <c r="W33" s="32"/>
      <c r="X33" s="32"/>
      <c r="Y33" s="32"/>
      <c r="AL33" s="248"/>
      <c r="AM33" s="248"/>
      <c r="AN33" s="248"/>
      <c r="AO33" s="248"/>
      <c r="AP33" s="248"/>
      <c r="AQ33" s="248"/>
      <c r="AR33" s="248"/>
      <c r="AS33" s="248"/>
    </row>
    <row r="34" spans="1:45" ht="12.75">
      <c r="A34" s="243" t="s">
        <v>35</v>
      </c>
      <c r="B34" s="240"/>
      <c r="C34" s="240"/>
      <c r="E34" s="75" t="s">
        <v>114</v>
      </c>
      <c r="F34" s="34"/>
      <c r="G34" s="34"/>
      <c r="H34" s="34"/>
      <c r="I34" s="34"/>
      <c r="J34" s="34"/>
      <c r="K34" s="34"/>
      <c r="L34" s="34"/>
      <c r="M34" s="34"/>
      <c r="N34" s="34"/>
      <c r="O34" s="34"/>
      <c r="P34" s="34"/>
      <c r="Q34" s="34"/>
      <c r="R34" s="34"/>
      <c r="S34" s="34"/>
      <c r="T34" s="17"/>
      <c r="U34" s="34"/>
      <c r="V34" s="34"/>
      <c r="W34" s="34"/>
      <c r="X34" s="34"/>
      <c r="Y34" s="34"/>
      <c r="AL34" s="106"/>
      <c r="AM34" s="106"/>
      <c r="AN34" s="106"/>
      <c r="AO34" s="106"/>
      <c r="AP34" s="106"/>
      <c r="AQ34" s="106"/>
      <c r="AR34" s="106"/>
      <c r="AS34" s="106"/>
    </row>
    <row r="35" spans="1:45" ht="12.75">
      <c r="A35" s="240" t="s">
        <v>36</v>
      </c>
      <c r="B35" s="240"/>
      <c r="C35" s="240"/>
      <c r="E35" s="116" t="s">
        <v>401</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34">
        <v>-104</v>
      </c>
      <c r="Z35" s="17">
        <v>0</v>
      </c>
      <c r="AA35" s="17">
        <v>0</v>
      </c>
      <c r="AB35" s="17">
        <v>0</v>
      </c>
      <c r="AC35" s="17">
        <v>0</v>
      </c>
      <c r="AD35" s="17">
        <v>0</v>
      </c>
      <c r="AE35" s="17">
        <v>0</v>
      </c>
      <c r="AF35" s="18">
        <v>0</v>
      </c>
      <c r="AG35" s="18">
        <v>0</v>
      </c>
      <c r="AH35" s="18">
        <v>0</v>
      </c>
      <c r="AI35" s="13">
        <v>0</v>
      </c>
      <c r="AJ35" s="13">
        <v>0</v>
      </c>
      <c r="AK35" s="13">
        <v>0</v>
      </c>
      <c r="AL35" s="13">
        <v>0</v>
      </c>
      <c r="AM35" s="13">
        <v>0</v>
      </c>
      <c r="AN35" s="13">
        <v>0</v>
      </c>
      <c r="AO35" s="13">
        <v>0</v>
      </c>
      <c r="AP35" s="13">
        <v>0</v>
      </c>
      <c r="AQ35" s="13">
        <v>0</v>
      </c>
      <c r="AR35" s="13">
        <v>0</v>
      </c>
      <c r="AS35" s="13">
        <v>0</v>
      </c>
    </row>
    <row r="36" spans="1:45" s="17" customFormat="1" ht="12.75">
      <c r="A36" s="240" t="s">
        <v>36</v>
      </c>
      <c r="B36" s="240"/>
      <c r="C36" s="240"/>
      <c r="E36" s="116" t="s">
        <v>373</v>
      </c>
      <c r="F36" s="17">
        <v>0</v>
      </c>
      <c r="G36" s="17">
        <v>0</v>
      </c>
      <c r="H36" s="17">
        <v>0</v>
      </c>
      <c r="I36" s="17">
        <v>0</v>
      </c>
      <c r="J36" s="17">
        <v>0</v>
      </c>
      <c r="K36" s="17">
        <v>0</v>
      </c>
      <c r="L36" s="17">
        <v>0</v>
      </c>
      <c r="M36" s="17">
        <v>0</v>
      </c>
      <c r="N36" s="17">
        <v>0</v>
      </c>
      <c r="O36" s="17">
        <v>0</v>
      </c>
      <c r="P36" s="17">
        <v>0</v>
      </c>
      <c r="Q36" s="17">
        <v>0</v>
      </c>
      <c r="R36" s="17">
        <v>0</v>
      </c>
      <c r="S36" s="17">
        <v>0</v>
      </c>
      <c r="T36" s="17">
        <v>0</v>
      </c>
      <c r="U36" s="17">
        <v>-426</v>
      </c>
      <c r="V36" s="17">
        <v>0</v>
      </c>
      <c r="W36" s="17">
        <v>0</v>
      </c>
      <c r="X36" s="13">
        <v>0</v>
      </c>
      <c r="Y36" s="13">
        <v>0</v>
      </c>
      <c r="Z36" s="17">
        <v>0</v>
      </c>
      <c r="AA36" s="17">
        <v>0</v>
      </c>
      <c r="AB36" s="17">
        <v>0</v>
      </c>
      <c r="AC36" s="40">
        <v>-105</v>
      </c>
      <c r="AD36" s="40">
        <v>0</v>
      </c>
      <c r="AE36" s="40">
        <v>0</v>
      </c>
      <c r="AF36" s="43">
        <v>0</v>
      </c>
      <c r="AG36" s="43">
        <v>0</v>
      </c>
      <c r="AH36" s="43">
        <v>0</v>
      </c>
      <c r="AI36" s="13">
        <v>0</v>
      </c>
      <c r="AJ36" s="13">
        <v>0</v>
      </c>
      <c r="AK36" s="13">
        <v>0</v>
      </c>
      <c r="AL36" s="13">
        <v>0</v>
      </c>
      <c r="AM36" s="13">
        <v>0</v>
      </c>
      <c r="AN36" s="13">
        <v>0</v>
      </c>
      <c r="AO36" s="13">
        <v>0</v>
      </c>
      <c r="AP36" s="13">
        <v>0</v>
      </c>
      <c r="AQ36" s="13">
        <v>0</v>
      </c>
      <c r="AR36" s="13">
        <v>0</v>
      </c>
      <c r="AS36" s="13">
        <v>0</v>
      </c>
    </row>
    <row r="37" spans="1:45" s="17" customFormat="1" ht="12.75">
      <c r="A37" s="240" t="s">
        <v>36</v>
      </c>
      <c r="B37" s="240"/>
      <c r="C37" s="240"/>
      <c r="E37" s="116" t="s">
        <v>374</v>
      </c>
      <c r="F37" s="17">
        <v>0</v>
      </c>
      <c r="G37" s="17">
        <v>0</v>
      </c>
      <c r="H37" s="17">
        <v>0</v>
      </c>
      <c r="I37" s="17">
        <v>0</v>
      </c>
      <c r="J37" s="17">
        <v>0</v>
      </c>
      <c r="K37" s="17">
        <v>0</v>
      </c>
      <c r="L37" s="17">
        <v>0</v>
      </c>
      <c r="M37" s="17">
        <v>0</v>
      </c>
      <c r="N37" s="17">
        <v>0</v>
      </c>
      <c r="O37" s="17">
        <v>0</v>
      </c>
      <c r="P37" s="17">
        <v>0</v>
      </c>
      <c r="Q37" s="17">
        <v>0</v>
      </c>
      <c r="R37" s="17">
        <v>0</v>
      </c>
      <c r="S37" s="17">
        <v>0</v>
      </c>
      <c r="T37" s="17">
        <v>0</v>
      </c>
      <c r="U37" s="17">
        <v>-356</v>
      </c>
      <c r="V37" s="17">
        <v>0</v>
      </c>
      <c r="W37" s="17">
        <v>0</v>
      </c>
      <c r="X37" s="13">
        <v>-54</v>
      </c>
      <c r="Y37" s="13">
        <v>-54</v>
      </c>
      <c r="Z37" s="17">
        <v>0</v>
      </c>
      <c r="AA37" s="17">
        <v>0</v>
      </c>
      <c r="AB37" s="17">
        <v>0</v>
      </c>
      <c r="AC37" s="17">
        <v>0</v>
      </c>
      <c r="AD37" s="17">
        <v>0</v>
      </c>
      <c r="AE37" s="17">
        <v>0</v>
      </c>
      <c r="AF37" s="18">
        <v>0</v>
      </c>
      <c r="AG37" s="18">
        <v>0</v>
      </c>
      <c r="AH37" s="18">
        <v>0</v>
      </c>
      <c r="AI37" s="13">
        <v>0</v>
      </c>
      <c r="AJ37" s="13">
        <v>0</v>
      </c>
      <c r="AK37" s="13">
        <v>0</v>
      </c>
      <c r="AL37" s="13">
        <v>0</v>
      </c>
      <c r="AM37" s="13">
        <v>0</v>
      </c>
      <c r="AN37" s="13">
        <v>0</v>
      </c>
      <c r="AO37" s="13">
        <v>0</v>
      </c>
      <c r="AP37" s="13">
        <v>0</v>
      </c>
      <c r="AQ37" s="13">
        <v>0</v>
      </c>
      <c r="AR37" s="13">
        <v>0</v>
      </c>
      <c r="AS37" s="13">
        <v>0</v>
      </c>
    </row>
    <row r="38" spans="1:45" ht="12.75">
      <c r="A38" s="240" t="s">
        <v>36</v>
      </c>
      <c r="B38" s="240"/>
      <c r="C38" s="240"/>
      <c r="E38" s="116" t="s">
        <v>368</v>
      </c>
      <c r="F38" s="17">
        <v>0</v>
      </c>
      <c r="G38" s="17">
        <v>0</v>
      </c>
      <c r="H38" s="17">
        <v>0</v>
      </c>
      <c r="I38" s="17">
        <v>0</v>
      </c>
      <c r="J38" s="17">
        <v>0</v>
      </c>
      <c r="K38" s="17">
        <v>0</v>
      </c>
      <c r="L38" s="17">
        <v>0</v>
      </c>
      <c r="M38" s="17">
        <v>0</v>
      </c>
      <c r="N38" s="17">
        <v>0</v>
      </c>
      <c r="O38" s="17">
        <v>0</v>
      </c>
      <c r="P38" s="17">
        <v>0</v>
      </c>
      <c r="Q38" s="17">
        <v>0</v>
      </c>
      <c r="R38" s="17">
        <v>0</v>
      </c>
      <c r="S38" s="13">
        <v>-71</v>
      </c>
      <c r="T38" s="17">
        <v>0</v>
      </c>
      <c r="U38" s="13">
        <v>-71</v>
      </c>
      <c r="V38" s="13">
        <v>0</v>
      </c>
      <c r="W38" s="13">
        <v>0</v>
      </c>
      <c r="X38" s="13">
        <v>0</v>
      </c>
      <c r="Y38" s="13">
        <v>0</v>
      </c>
      <c r="Z38" s="17">
        <v>0</v>
      </c>
      <c r="AA38" s="17">
        <v>0</v>
      </c>
      <c r="AB38" s="17">
        <v>0</v>
      </c>
      <c r="AC38" s="17">
        <v>0</v>
      </c>
      <c r="AD38" s="17">
        <v>0</v>
      </c>
      <c r="AE38" s="17">
        <v>0</v>
      </c>
      <c r="AF38" s="18">
        <v>0</v>
      </c>
      <c r="AG38" s="18">
        <v>0</v>
      </c>
      <c r="AH38" s="18">
        <v>0</v>
      </c>
      <c r="AI38" s="13">
        <v>0</v>
      </c>
      <c r="AJ38" s="13">
        <v>0</v>
      </c>
      <c r="AK38" s="13">
        <v>0</v>
      </c>
      <c r="AL38" s="13">
        <v>0</v>
      </c>
      <c r="AM38" s="13">
        <v>0</v>
      </c>
      <c r="AN38" s="13">
        <v>0</v>
      </c>
      <c r="AO38" s="13">
        <v>0</v>
      </c>
      <c r="AP38" s="13">
        <v>0</v>
      </c>
      <c r="AQ38" s="13">
        <v>0</v>
      </c>
      <c r="AR38" s="13">
        <v>0</v>
      </c>
      <c r="AS38" s="13">
        <v>0</v>
      </c>
    </row>
    <row r="39" spans="1:45" ht="12.75">
      <c r="A39" s="240" t="s">
        <v>36</v>
      </c>
      <c r="B39" s="240"/>
      <c r="C39" s="240"/>
      <c r="E39" s="116" t="s">
        <v>369</v>
      </c>
      <c r="F39" s="17">
        <v>0</v>
      </c>
      <c r="G39" s="17">
        <v>0</v>
      </c>
      <c r="H39" s="17">
        <v>0</v>
      </c>
      <c r="I39" s="17">
        <v>0</v>
      </c>
      <c r="J39" s="17">
        <v>0</v>
      </c>
      <c r="K39" s="17">
        <v>0</v>
      </c>
      <c r="L39" s="17">
        <v>0</v>
      </c>
      <c r="M39" s="17">
        <v>0</v>
      </c>
      <c r="N39" s="17">
        <v>0</v>
      </c>
      <c r="O39" s="17">
        <v>0</v>
      </c>
      <c r="P39" s="17">
        <v>0</v>
      </c>
      <c r="Q39" s="17">
        <v>0</v>
      </c>
      <c r="R39" s="17">
        <v>0</v>
      </c>
      <c r="S39" s="13">
        <v>-136</v>
      </c>
      <c r="T39" s="17">
        <v>0</v>
      </c>
      <c r="U39" s="13">
        <v>-136</v>
      </c>
      <c r="V39" s="13">
        <v>0</v>
      </c>
      <c r="W39" s="13">
        <v>0</v>
      </c>
      <c r="X39" s="13">
        <v>0</v>
      </c>
      <c r="Y39" s="13">
        <v>0</v>
      </c>
      <c r="Z39" s="17">
        <v>0</v>
      </c>
      <c r="AA39" s="17">
        <v>0</v>
      </c>
      <c r="AB39" s="17">
        <v>0</v>
      </c>
      <c r="AC39" s="17">
        <v>0</v>
      </c>
      <c r="AD39" s="17">
        <v>0</v>
      </c>
      <c r="AE39" s="17">
        <v>0</v>
      </c>
      <c r="AF39" s="18">
        <v>0</v>
      </c>
      <c r="AG39" s="18">
        <v>0</v>
      </c>
      <c r="AH39" s="18">
        <v>0</v>
      </c>
      <c r="AI39" s="13">
        <v>0</v>
      </c>
      <c r="AJ39" s="13">
        <v>0</v>
      </c>
      <c r="AK39" s="13">
        <v>0</v>
      </c>
      <c r="AL39" s="13">
        <v>0</v>
      </c>
      <c r="AM39" s="13">
        <v>0</v>
      </c>
      <c r="AN39" s="13">
        <v>0</v>
      </c>
      <c r="AO39" s="13">
        <v>0</v>
      </c>
      <c r="AP39" s="13">
        <v>0</v>
      </c>
      <c r="AQ39" s="13">
        <v>0</v>
      </c>
      <c r="AR39" s="13">
        <v>0</v>
      </c>
      <c r="AS39" s="13">
        <v>0</v>
      </c>
    </row>
    <row r="40" spans="1:45" s="17" customFormat="1" ht="12.75">
      <c r="A40" s="240" t="s">
        <v>36</v>
      </c>
      <c r="B40" s="240"/>
      <c r="C40" s="240"/>
      <c r="E40" s="116" t="s">
        <v>363</v>
      </c>
      <c r="F40" s="13">
        <v>0</v>
      </c>
      <c r="G40" s="13">
        <v>0</v>
      </c>
      <c r="H40" s="13">
        <v>0</v>
      </c>
      <c r="I40" s="13">
        <v>0</v>
      </c>
      <c r="J40" s="13">
        <v>0</v>
      </c>
      <c r="K40" s="13">
        <v>0</v>
      </c>
      <c r="L40" s="13">
        <v>0</v>
      </c>
      <c r="M40" s="13">
        <v>0</v>
      </c>
      <c r="N40" s="13">
        <v>0</v>
      </c>
      <c r="O40" s="13">
        <v>0</v>
      </c>
      <c r="P40" s="13">
        <v>0</v>
      </c>
      <c r="Q40" s="13">
        <v>0</v>
      </c>
      <c r="R40" s="17">
        <v>-95</v>
      </c>
      <c r="S40" s="17">
        <v>-95</v>
      </c>
      <c r="T40" s="17">
        <v>0</v>
      </c>
      <c r="U40" s="17">
        <v>-95</v>
      </c>
      <c r="V40" s="17">
        <v>0</v>
      </c>
      <c r="W40" s="17">
        <v>0</v>
      </c>
      <c r="X40" s="13">
        <v>0</v>
      </c>
      <c r="Y40" s="13">
        <v>0</v>
      </c>
      <c r="Z40" s="17">
        <v>0</v>
      </c>
      <c r="AA40" s="17">
        <v>0</v>
      </c>
      <c r="AB40" s="17">
        <v>0</v>
      </c>
      <c r="AC40" s="17">
        <v>0</v>
      </c>
      <c r="AD40" s="17">
        <v>0</v>
      </c>
      <c r="AE40" s="17">
        <v>0</v>
      </c>
      <c r="AF40" s="18">
        <v>0</v>
      </c>
      <c r="AG40" s="18">
        <v>0</v>
      </c>
      <c r="AH40" s="18">
        <v>0</v>
      </c>
      <c r="AI40" s="13">
        <v>0</v>
      </c>
      <c r="AJ40" s="13">
        <v>0</v>
      </c>
      <c r="AK40" s="13">
        <v>0</v>
      </c>
      <c r="AL40" s="13">
        <v>0</v>
      </c>
      <c r="AM40" s="13">
        <v>0</v>
      </c>
      <c r="AN40" s="13">
        <v>0</v>
      </c>
      <c r="AO40" s="13">
        <v>0</v>
      </c>
      <c r="AP40" s="13">
        <v>0</v>
      </c>
      <c r="AQ40" s="13">
        <v>0</v>
      </c>
      <c r="AR40" s="13">
        <v>0</v>
      </c>
      <c r="AS40" s="13">
        <v>0</v>
      </c>
    </row>
    <row r="41" spans="1:45" ht="12.75">
      <c r="A41" s="240" t="s">
        <v>36</v>
      </c>
      <c r="B41" s="240"/>
      <c r="C41" s="240"/>
      <c r="E41" s="116" t="s">
        <v>356</v>
      </c>
      <c r="F41" s="2">
        <v>0</v>
      </c>
      <c r="G41" s="2">
        <v>0</v>
      </c>
      <c r="H41" s="2">
        <v>0</v>
      </c>
      <c r="I41" s="2">
        <v>0</v>
      </c>
      <c r="J41" s="2">
        <v>0</v>
      </c>
      <c r="K41" s="2">
        <v>0</v>
      </c>
      <c r="L41" s="2">
        <v>0</v>
      </c>
      <c r="M41" s="2">
        <v>0</v>
      </c>
      <c r="N41" s="2">
        <v>0</v>
      </c>
      <c r="O41" s="2">
        <v>0</v>
      </c>
      <c r="P41" s="2">
        <v>0</v>
      </c>
      <c r="Q41" s="17">
        <v>-440</v>
      </c>
      <c r="R41" s="17">
        <v>0</v>
      </c>
      <c r="S41" s="17">
        <v>0</v>
      </c>
      <c r="T41" s="17">
        <v>0</v>
      </c>
      <c r="U41" s="17">
        <v>0</v>
      </c>
      <c r="V41" s="17">
        <v>0</v>
      </c>
      <c r="W41" s="17">
        <v>0</v>
      </c>
      <c r="X41" s="13">
        <v>0</v>
      </c>
      <c r="Y41" s="13">
        <v>0</v>
      </c>
      <c r="Z41" s="17">
        <v>0</v>
      </c>
      <c r="AA41" s="17">
        <v>0</v>
      </c>
      <c r="AB41" s="17">
        <v>0</v>
      </c>
      <c r="AC41" s="17">
        <v>0</v>
      </c>
      <c r="AD41" s="17">
        <v>0</v>
      </c>
      <c r="AE41" s="17">
        <v>0</v>
      </c>
      <c r="AF41" s="18">
        <v>0</v>
      </c>
      <c r="AG41" s="18">
        <v>0</v>
      </c>
      <c r="AH41" s="18">
        <v>0</v>
      </c>
      <c r="AI41" s="13">
        <v>0</v>
      </c>
      <c r="AJ41" s="13">
        <v>0</v>
      </c>
      <c r="AK41" s="13">
        <v>0</v>
      </c>
      <c r="AL41" s="13">
        <v>0</v>
      </c>
      <c r="AM41" s="13">
        <v>0</v>
      </c>
      <c r="AN41" s="13">
        <v>0</v>
      </c>
      <c r="AO41" s="13">
        <v>0</v>
      </c>
      <c r="AP41" s="13">
        <v>0</v>
      </c>
      <c r="AQ41" s="13">
        <v>0</v>
      </c>
      <c r="AR41" s="13">
        <v>0</v>
      </c>
      <c r="AS41" s="13">
        <v>0</v>
      </c>
    </row>
    <row r="42" spans="1:45" ht="12.75">
      <c r="A42" s="240" t="s">
        <v>36</v>
      </c>
      <c r="B42" s="240"/>
      <c r="C42" s="240"/>
      <c r="E42" s="116" t="s">
        <v>357</v>
      </c>
      <c r="F42" s="2">
        <v>0</v>
      </c>
      <c r="G42" s="2">
        <v>0</v>
      </c>
      <c r="H42" s="2">
        <v>0</v>
      </c>
      <c r="I42" s="2">
        <v>0</v>
      </c>
      <c r="J42" s="2">
        <v>0</v>
      </c>
      <c r="K42" s="2">
        <v>0</v>
      </c>
      <c r="L42" s="2">
        <v>0</v>
      </c>
      <c r="M42" s="2">
        <v>0</v>
      </c>
      <c r="N42" s="2">
        <v>0</v>
      </c>
      <c r="O42" s="2">
        <v>0</v>
      </c>
      <c r="P42" s="2">
        <v>0</v>
      </c>
      <c r="Q42" s="17">
        <v>-560</v>
      </c>
      <c r="R42" s="17">
        <v>0</v>
      </c>
      <c r="S42" s="17">
        <v>0</v>
      </c>
      <c r="T42" s="17">
        <v>0</v>
      </c>
      <c r="U42" s="17">
        <v>0</v>
      </c>
      <c r="V42" s="17">
        <v>0</v>
      </c>
      <c r="W42" s="17">
        <v>0</v>
      </c>
      <c r="X42" s="13">
        <v>0</v>
      </c>
      <c r="Y42" s="13">
        <v>0</v>
      </c>
      <c r="Z42" s="17">
        <v>0</v>
      </c>
      <c r="AA42" s="17">
        <v>0</v>
      </c>
      <c r="AB42" s="17">
        <v>0</v>
      </c>
      <c r="AC42" s="17">
        <v>0</v>
      </c>
      <c r="AD42" s="17">
        <v>0</v>
      </c>
      <c r="AE42" s="17">
        <v>0</v>
      </c>
      <c r="AF42" s="18">
        <v>0</v>
      </c>
      <c r="AG42" s="18">
        <v>0</v>
      </c>
      <c r="AH42" s="18">
        <v>0</v>
      </c>
      <c r="AI42" s="13">
        <v>0</v>
      </c>
      <c r="AJ42" s="13">
        <v>0</v>
      </c>
      <c r="AK42" s="13">
        <v>0</v>
      </c>
      <c r="AL42" s="13">
        <v>0</v>
      </c>
      <c r="AM42" s="13">
        <v>0</v>
      </c>
      <c r="AN42" s="13">
        <v>0</v>
      </c>
      <c r="AO42" s="13">
        <v>0</v>
      </c>
      <c r="AP42" s="13">
        <v>0</v>
      </c>
      <c r="AQ42" s="13">
        <v>0</v>
      </c>
      <c r="AR42" s="13">
        <v>0</v>
      </c>
      <c r="AS42" s="13">
        <v>0</v>
      </c>
    </row>
    <row r="43" spans="1:45" ht="12.75">
      <c r="A43" s="240" t="s">
        <v>36</v>
      </c>
      <c r="B43" s="240"/>
      <c r="C43" s="240"/>
      <c r="E43" s="116" t="s">
        <v>358</v>
      </c>
      <c r="F43" s="2">
        <v>0</v>
      </c>
      <c r="G43" s="2">
        <v>0</v>
      </c>
      <c r="H43" s="2">
        <v>0</v>
      </c>
      <c r="I43" s="2">
        <v>0</v>
      </c>
      <c r="J43" s="2">
        <v>0</v>
      </c>
      <c r="K43" s="2">
        <v>0</v>
      </c>
      <c r="L43" s="2">
        <v>0</v>
      </c>
      <c r="M43" s="2">
        <v>0</v>
      </c>
      <c r="N43" s="2">
        <v>0</v>
      </c>
      <c r="O43" s="2">
        <v>0</v>
      </c>
      <c r="P43" s="2">
        <v>0</v>
      </c>
      <c r="Q43" s="17">
        <v>-218</v>
      </c>
      <c r="R43" s="17">
        <v>0</v>
      </c>
      <c r="S43" s="17">
        <v>0</v>
      </c>
      <c r="T43" s="17">
        <v>0</v>
      </c>
      <c r="U43" s="17">
        <v>0</v>
      </c>
      <c r="V43" s="17">
        <v>0</v>
      </c>
      <c r="W43" s="17">
        <v>0</v>
      </c>
      <c r="X43" s="13">
        <v>0</v>
      </c>
      <c r="Y43" s="13">
        <v>0</v>
      </c>
      <c r="Z43" s="17">
        <v>0</v>
      </c>
      <c r="AA43" s="17">
        <v>0</v>
      </c>
      <c r="AB43" s="17">
        <v>0</v>
      </c>
      <c r="AC43" s="17">
        <v>0</v>
      </c>
      <c r="AD43" s="17">
        <v>0</v>
      </c>
      <c r="AE43" s="17">
        <v>0</v>
      </c>
      <c r="AF43" s="18">
        <v>0</v>
      </c>
      <c r="AG43" s="18">
        <v>0</v>
      </c>
      <c r="AH43" s="18">
        <v>0</v>
      </c>
      <c r="AI43" s="13">
        <v>0</v>
      </c>
      <c r="AJ43" s="13">
        <v>0</v>
      </c>
      <c r="AK43" s="13">
        <v>0</v>
      </c>
      <c r="AL43" s="13">
        <v>0</v>
      </c>
      <c r="AM43" s="13">
        <v>0</v>
      </c>
      <c r="AN43" s="13">
        <v>0</v>
      </c>
      <c r="AO43" s="13">
        <v>0</v>
      </c>
      <c r="AP43" s="13">
        <v>0</v>
      </c>
      <c r="AQ43" s="13">
        <v>0</v>
      </c>
      <c r="AR43" s="13">
        <v>0</v>
      </c>
      <c r="AS43" s="13">
        <v>0</v>
      </c>
    </row>
    <row r="44" spans="1:45" ht="12.75">
      <c r="A44" s="240" t="s">
        <v>36</v>
      </c>
      <c r="B44" s="240"/>
      <c r="C44" s="240"/>
      <c r="E44" s="104" t="s">
        <v>115</v>
      </c>
      <c r="F44" s="92">
        <v>0</v>
      </c>
      <c r="G44" s="92">
        <v>0</v>
      </c>
      <c r="H44" s="92">
        <v>0</v>
      </c>
      <c r="I44" s="92">
        <v>0</v>
      </c>
      <c r="J44" s="92">
        <v>0</v>
      </c>
      <c r="K44" s="92">
        <v>0</v>
      </c>
      <c r="L44" s="92">
        <v>0</v>
      </c>
      <c r="M44" s="92">
        <v>0</v>
      </c>
      <c r="N44" s="92">
        <v>-187</v>
      </c>
      <c r="O44" s="92">
        <v>-162</v>
      </c>
      <c r="P44" s="92">
        <v>-162</v>
      </c>
      <c r="Q44" s="92">
        <v>-162</v>
      </c>
      <c r="R44" s="92">
        <v>0</v>
      </c>
      <c r="S44" s="92">
        <v>0</v>
      </c>
      <c r="T44" s="17">
        <v>0</v>
      </c>
      <c r="U44" s="92">
        <v>0</v>
      </c>
      <c r="V44" s="92">
        <v>0</v>
      </c>
      <c r="W44" s="92">
        <v>0</v>
      </c>
      <c r="X44" s="2">
        <v>0</v>
      </c>
      <c r="Y44" s="2">
        <v>0</v>
      </c>
      <c r="Z44" s="17">
        <v>0</v>
      </c>
      <c r="AA44" s="17">
        <v>0</v>
      </c>
      <c r="AB44" s="17">
        <v>0</v>
      </c>
      <c r="AC44" s="17">
        <v>0</v>
      </c>
      <c r="AD44" s="17">
        <v>0</v>
      </c>
      <c r="AE44" s="17">
        <v>0</v>
      </c>
      <c r="AF44" s="18">
        <v>0</v>
      </c>
      <c r="AG44" s="18">
        <v>0</v>
      </c>
      <c r="AH44" s="18">
        <v>0</v>
      </c>
      <c r="AI44" s="13">
        <v>0</v>
      </c>
      <c r="AJ44" s="13">
        <v>0</v>
      </c>
      <c r="AK44" s="13">
        <v>0</v>
      </c>
      <c r="AL44" s="13">
        <v>0</v>
      </c>
      <c r="AM44" s="13">
        <v>0</v>
      </c>
      <c r="AN44" s="13">
        <v>0</v>
      </c>
      <c r="AO44" s="13">
        <v>0</v>
      </c>
      <c r="AP44" s="13">
        <v>0</v>
      </c>
      <c r="AQ44" s="13">
        <v>0</v>
      </c>
      <c r="AR44" s="13">
        <v>0</v>
      </c>
      <c r="AS44" s="13">
        <v>0</v>
      </c>
    </row>
    <row r="45" spans="1:45" ht="12.75">
      <c r="A45" s="240" t="s">
        <v>36</v>
      </c>
      <c r="B45" s="240"/>
      <c r="C45" s="240"/>
      <c r="E45" s="104" t="s">
        <v>116</v>
      </c>
      <c r="F45" s="92">
        <v>0</v>
      </c>
      <c r="G45" s="92">
        <v>0</v>
      </c>
      <c r="H45" s="92">
        <v>0</v>
      </c>
      <c r="I45" s="92">
        <v>0</v>
      </c>
      <c r="J45" s="92">
        <v>0</v>
      </c>
      <c r="K45" s="92">
        <v>0</v>
      </c>
      <c r="L45" s="92">
        <v>0</v>
      </c>
      <c r="M45" s="92">
        <v>0</v>
      </c>
      <c r="N45" s="92">
        <v>-132</v>
      </c>
      <c r="O45" s="92">
        <v>-132</v>
      </c>
      <c r="P45" s="92">
        <v>-132</v>
      </c>
      <c r="Q45" s="92">
        <v>-132</v>
      </c>
      <c r="R45" s="92">
        <v>0</v>
      </c>
      <c r="S45" s="92">
        <v>0</v>
      </c>
      <c r="T45" s="17">
        <v>0</v>
      </c>
      <c r="U45" s="92">
        <v>0</v>
      </c>
      <c r="V45" s="92">
        <v>0</v>
      </c>
      <c r="W45" s="92">
        <v>0</v>
      </c>
      <c r="X45" s="2">
        <v>0</v>
      </c>
      <c r="Y45" s="2">
        <v>0</v>
      </c>
      <c r="Z45" s="17">
        <v>0</v>
      </c>
      <c r="AA45" s="17">
        <v>0</v>
      </c>
      <c r="AB45" s="17">
        <v>0</v>
      </c>
      <c r="AC45" s="17">
        <v>0</v>
      </c>
      <c r="AD45" s="17">
        <v>0</v>
      </c>
      <c r="AE45" s="17">
        <v>0</v>
      </c>
      <c r="AF45" s="18">
        <v>0</v>
      </c>
      <c r="AG45" s="18">
        <v>0</v>
      </c>
      <c r="AH45" s="18">
        <v>0</v>
      </c>
      <c r="AI45" s="13">
        <v>0</v>
      </c>
      <c r="AJ45" s="13">
        <v>0</v>
      </c>
      <c r="AK45" s="13">
        <v>0</v>
      </c>
      <c r="AL45" s="13">
        <v>0</v>
      </c>
      <c r="AM45" s="13">
        <v>0</v>
      </c>
      <c r="AN45" s="13">
        <v>0</v>
      </c>
      <c r="AO45" s="13">
        <v>0</v>
      </c>
      <c r="AP45" s="13">
        <v>0</v>
      </c>
      <c r="AQ45" s="13">
        <v>0</v>
      </c>
      <c r="AR45" s="13">
        <v>0</v>
      </c>
      <c r="AS45" s="13">
        <v>0</v>
      </c>
    </row>
    <row r="46" spans="1:45" ht="12.75">
      <c r="A46" s="240" t="s">
        <v>36</v>
      </c>
      <c r="B46" s="240"/>
      <c r="C46" s="240"/>
      <c r="E46" s="104" t="s">
        <v>117</v>
      </c>
      <c r="F46" s="92">
        <v>0</v>
      </c>
      <c r="G46" s="92">
        <v>0</v>
      </c>
      <c r="H46" s="92">
        <v>0</v>
      </c>
      <c r="I46" s="92">
        <v>0</v>
      </c>
      <c r="J46" s="92">
        <v>0</v>
      </c>
      <c r="K46" s="92">
        <v>0</v>
      </c>
      <c r="L46" s="92">
        <v>0</v>
      </c>
      <c r="M46" s="92">
        <v>0</v>
      </c>
      <c r="N46" s="92">
        <v>-105</v>
      </c>
      <c r="O46" s="92">
        <v>-105</v>
      </c>
      <c r="P46" s="92">
        <v>-105</v>
      </c>
      <c r="Q46" s="92">
        <v>-105</v>
      </c>
      <c r="R46" s="92">
        <v>0</v>
      </c>
      <c r="S46" s="92">
        <v>0</v>
      </c>
      <c r="T46" s="17">
        <v>0</v>
      </c>
      <c r="U46" s="92">
        <v>0</v>
      </c>
      <c r="V46" s="92">
        <v>0</v>
      </c>
      <c r="W46" s="92">
        <v>0</v>
      </c>
      <c r="X46" s="2">
        <v>0</v>
      </c>
      <c r="Y46" s="2">
        <v>0</v>
      </c>
      <c r="Z46" s="17">
        <v>0</v>
      </c>
      <c r="AA46" s="17">
        <v>0</v>
      </c>
      <c r="AB46" s="17">
        <v>0</v>
      </c>
      <c r="AC46" s="17">
        <v>0</v>
      </c>
      <c r="AD46" s="17">
        <v>0</v>
      </c>
      <c r="AE46" s="17">
        <v>0</v>
      </c>
      <c r="AF46" s="18">
        <v>0</v>
      </c>
      <c r="AG46" s="18">
        <v>0</v>
      </c>
      <c r="AH46" s="18">
        <v>0</v>
      </c>
      <c r="AI46" s="13">
        <v>0</v>
      </c>
      <c r="AJ46" s="13">
        <v>0</v>
      </c>
      <c r="AK46" s="13">
        <v>0</v>
      </c>
      <c r="AL46" s="13">
        <v>0</v>
      </c>
      <c r="AM46" s="13">
        <v>0</v>
      </c>
      <c r="AN46" s="13">
        <v>0</v>
      </c>
      <c r="AO46" s="13">
        <v>0</v>
      </c>
      <c r="AP46" s="13">
        <v>0</v>
      </c>
      <c r="AQ46" s="13">
        <v>0</v>
      </c>
      <c r="AR46" s="13">
        <v>0</v>
      </c>
      <c r="AS46" s="13">
        <v>0</v>
      </c>
    </row>
    <row r="47" spans="1:45" ht="12.75">
      <c r="A47" s="240" t="s">
        <v>36</v>
      </c>
      <c r="B47" s="240"/>
      <c r="C47" s="240"/>
      <c r="E47" s="92" t="s">
        <v>118</v>
      </c>
      <c r="F47" s="92">
        <v>0</v>
      </c>
      <c r="G47" s="92">
        <v>0</v>
      </c>
      <c r="H47" s="92">
        <v>0</v>
      </c>
      <c r="I47" s="92">
        <v>0</v>
      </c>
      <c r="J47" s="92">
        <v>0</v>
      </c>
      <c r="K47" s="92">
        <v>-539</v>
      </c>
      <c r="L47" s="92">
        <v>-484</v>
      </c>
      <c r="M47" s="92">
        <v>-487</v>
      </c>
      <c r="N47" s="92">
        <v>0</v>
      </c>
      <c r="O47" s="92">
        <v>0</v>
      </c>
      <c r="P47" s="92">
        <v>0</v>
      </c>
      <c r="Q47" s="92">
        <v>0</v>
      </c>
      <c r="R47" s="92">
        <v>0</v>
      </c>
      <c r="S47" s="92">
        <v>0</v>
      </c>
      <c r="T47" s="17">
        <v>0</v>
      </c>
      <c r="U47" s="92">
        <v>0</v>
      </c>
      <c r="V47" s="92">
        <v>0</v>
      </c>
      <c r="W47" s="92">
        <v>0</v>
      </c>
      <c r="X47" s="92">
        <v>0</v>
      </c>
      <c r="Y47" s="92">
        <v>0</v>
      </c>
      <c r="Z47" s="17">
        <v>0</v>
      </c>
      <c r="AA47" s="17">
        <v>0</v>
      </c>
      <c r="AB47" s="17">
        <v>0</v>
      </c>
      <c r="AC47" s="17">
        <v>0</v>
      </c>
      <c r="AD47" s="17">
        <v>0</v>
      </c>
      <c r="AE47" s="17">
        <v>0</v>
      </c>
      <c r="AF47" s="18">
        <v>0</v>
      </c>
      <c r="AG47" s="18">
        <v>0</v>
      </c>
      <c r="AH47" s="18">
        <v>0</v>
      </c>
      <c r="AI47" s="13">
        <v>0</v>
      </c>
      <c r="AJ47" s="13">
        <v>0</v>
      </c>
      <c r="AK47" s="13">
        <v>0</v>
      </c>
      <c r="AL47" s="13">
        <v>0</v>
      </c>
      <c r="AM47" s="13">
        <v>0</v>
      </c>
      <c r="AN47" s="13">
        <v>0</v>
      </c>
      <c r="AO47" s="13">
        <v>0</v>
      </c>
      <c r="AP47" s="13">
        <v>0</v>
      </c>
      <c r="AQ47" s="13">
        <v>0</v>
      </c>
      <c r="AR47" s="13">
        <v>0</v>
      </c>
      <c r="AS47" s="13">
        <v>0</v>
      </c>
    </row>
    <row r="48" spans="1:45" ht="12.75">
      <c r="A48" s="240" t="s">
        <v>36</v>
      </c>
      <c r="B48" s="240"/>
      <c r="C48" s="240"/>
      <c r="E48" s="92" t="s">
        <v>120</v>
      </c>
      <c r="F48" s="92">
        <v>0</v>
      </c>
      <c r="G48" s="92">
        <v>0</v>
      </c>
      <c r="H48" s="92">
        <v>0</v>
      </c>
      <c r="I48" s="92">
        <v>-317</v>
      </c>
      <c r="J48" s="2">
        <v>0</v>
      </c>
      <c r="K48" s="2">
        <v>0</v>
      </c>
      <c r="L48" s="2">
        <v>0</v>
      </c>
      <c r="M48" s="2">
        <v>0</v>
      </c>
      <c r="N48" s="2">
        <v>0</v>
      </c>
      <c r="O48" s="2">
        <v>0</v>
      </c>
      <c r="P48" s="2">
        <v>0</v>
      </c>
      <c r="Q48" s="2">
        <v>0</v>
      </c>
      <c r="R48" s="2">
        <v>0</v>
      </c>
      <c r="S48" s="2">
        <v>0</v>
      </c>
      <c r="T48" s="17">
        <v>0</v>
      </c>
      <c r="U48" s="2">
        <v>0</v>
      </c>
      <c r="V48" s="2">
        <v>0</v>
      </c>
      <c r="W48" s="2">
        <v>0</v>
      </c>
      <c r="X48" s="2">
        <v>0</v>
      </c>
      <c r="Y48" s="2">
        <v>0</v>
      </c>
      <c r="Z48" s="17">
        <v>0</v>
      </c>
      <c r="AA48" s="17">
        <v>0</v>
      </c>
      <c r="AB48" s="17">
        <v>0</v>
      </c>
      <c r="AC48" s="17">
        <v>0</v>
      </c>
      <c r="AD48" s="17">
        <v>0</v>
      </c>
      <c r="AE48" s="17">
        <v>0</v>
      </c>
      <c r="AF48" s="18">
        <v>0</v>
      </c>
      <c r="AG48" s="18">
        <v>0</v>
      </c>
      <c r="AH48" s="18">
        <v>0</v>
      </c>
      <c r="AI48" s="13">
        <v>0</v>
      </c>
      <c r="AJ48" s="13">
        <v>0</v>
      </c>
      <c r="AK48" s="13">
        <v>0</v>
      </c>
      <c r="AL48" s="13">
        <v>0</v>
      </c>
      <c r="AM48" s="13">
        <v>0</v>
      </c>
      <c r="AN48" s="13">
        <v>0</v>
      </c>
      <c r="AO48" s="13">
        <v>0</v>
      </c>
      <c r="AP48" s="13">
        <v>0</v>
      </c>
      <c r="AQ48" s="13">
        <v>0</v>
      </c>
      <c r="AR48" s="13">
        <v>0</v>
      </c>
      <c r="AS48" s="13">
        <v>0</v>
      </c>
    </row>
    <row r="49" spans="1:45" ht="12.75">
      <c r="A49" s="240" t="s">
        <v>36</v>
      </c>
      <c r="B49" s="240"/>
      <c r="C49" s="240"/>
      <c r="E49" s="92" t="s">
        <v>121</v>
      </c>
      <c r="F49" s="92">
        <v>0</v>
      </c>
      <c r="G49" s="92">
        <v>-31</v>
      </c>
      <c r="H49" s="92">
        <v>-31</v>
      </c>
      <c r="I49" s="92">
        <v>-45</v>
      </c>
      <c r="J49" s="2">
        <v>0</v>
      </c>
      <c r="K49" s="2">
        <v>0</v>
      </c>
      <c r="L49" s="2">
        <v>0</v>
      </c>
      <c r="M49" s="2">
        <v>0</v>
      </c>
      <c r="N49" s="2">
        <v>0</v>
      </c>
      <c r="O49" s="2">
        <v>0</v>
      </c>
      <c r="P49" s="2">
        <v>0</v>
      </c>
      <c r="Q49" s="2">
        <v>0</v>
      </c>
      <c r="R49" s="2">
        <v>0</v>
      </c>
      <c r="S49" s="2">
        <v>0</v>
      </c>
      <c r="T49" s="17">
        <v>0</v>
      </c>
      <c r="U49" s="2">
        <v>0</v>
      </c>
      <c r="V49" s="2">
        <v>0</v>
      </c>
      <c r="W49" s="2">
        <v>0</v>
      </c>
      <c r="X49" s="2">
        <v>0</v>
      </c>
      <c r="Y49" s="2">
        <v>0</v>
      </c>
      <c r="Z49" s="17">
        <v>0</v>
      </c>
      <c r="AA49" s="17">
        <v>0</v>
      </c>
      <c r="AB49" s="17">
        <v>0</v>
      </c>
      <c r="AC49" s="17">
        <v>0</v>
      </c>
      <c r="AD49" s="17">
        <v>0</v>
      </c>
      <c r="AE49" s="17">
        <v>0</v>
      </c>
      <c r="AF49" s="18">
        <v>0</v>
      </c>
      <c r="AG49" s="18">
        <v>0</v>
      </c>
      <c r="AH49" s="18">
        <v>0</v>
      </c>
      <c r="AI49" s="13">
        <v>0</v>
      </c>
      <c r="AJ49" s="13">
        <v>0</v>
      </c>
      <c r="AK49" s="13">
        <v>0</v>
      </c>
      <c r="AL49" s="13">
        <v>0</v>
      </c>
      <c r="AM49" s="13">
        <v>0</v>
      </c>
      <c r="AN49" s="13">
        <v>0</v>
      </c>
      <c r="AO49" s="13">
        <v>0</v>
      </c>
      <c r="AP49" s="13">
        <v>0</v>
      </c>
      <c r="AQ49" s="13">
        <v>0</v>
      </c>
      <c r="AR49" s="13">
        <v>0</v>
      </c>
      <c r="AS49" s="13">
        <v>0</v>
      </c>
    </row>
    <row r="50" spans="1:45" ht="12.75">
      <c r="A50" s="240" t="s">
        <v>36</v>
      </c>
      <c r="B50" s="240"/>
      <c r="C50" s="240"/>
      <c r="E50" s="40" t="s">
        <v>437</v>
      </c>
      <c r="F50" s="40">
        <v>0</v>
      </c>
      <c r="G50" s="40">
        <v>0</v>
      </c>
      <c r="H50" s="40">
        <v>0</v>
      </c>
      <c r="I50" s="40">
        <v>0</v>
      </c>
      <c r="J50" s="40">
        <v>0</v>
      </c>
      <c r="K50" s="40">
        <v>0</v>
      </c>
      <c r="L50" s="40">
        <v>0</v>
      </c>
      <c r="M50" s="40">
        <v>0</v>
      </c>
      <c r="N50" s="40">
        <v>0</v>
      </c>
      <c r="O50" s="40">
        <v>0</v>
      </c>
      <c r="P50" s="40">
        <v>0</v>
      </c>
      <c r="Q50" s="40">
        <v>0</v>
      </c>
      <c r="R50" s="40">
        <v>0</v>
      </c>
      <c r="S50" s="40">
        <v>0</v>
      </c>
      <c r="T50" s="40">
        <v>0</v>
      </c>
      <c r="U50" s="40">
        <v>0</v>
      </c>
      <c r="V50" s="40">
        <v>0</v>
      </c>
      <c r="W50" s="40">
        <v>0</v>
      </c>
      <c r="X50" s="40">
        <v>0</v>
      </c>
      <c r="Y50" s="40">
        <v>0</v>
      </c>
      <c r="Z50" s="40">
        <v>0</v>
      </c>
      <c r="AA50" s="40">
        <v>0</v>
      </c>
      <c r="AB50" s="40">
        <v>0</v>
      </c>
      <c r="AC50" s="40">
        <v>-927</v>
      </c>
      <c r="AD50" s="40">
        <v>-82</v>
      </c>
      <c r="AE50" s="40">
        <v>-82</v>
      </c>
      <c r="AF50" s="43">
        <v>-82</v>
      </c>
      <c r="AG50" s="43">
        <v>-594</v>
      </c>
      <c r="AH50" s="43">
        <v>0</v>
      </c>
      <c r="AI50" s="13">
        <v>-923</v>
      </c>
      <c r="AJ50" s="13">
        <v>-923</v>
      </c>
      <c r="AK50" s="13">
        <v>-1173</v>
      </c>
      <c r="AL50" s="13">
        <v>0</v>
      </c>
      <c r="AM50" s="13">
        <v>0</v>
      </c>
      <c r="AN50" s="13">
        <v>0</v>
      </c>
      <c r="AO50" s="13">
        <v>0</v>
      </c>
      <c r="AP50" s="13">
        <v>0</v>
      </c>
      <c r="AQ50" s="13">
        <v>0</v>
      </c>
      <c r="AR50" s="13">
        <v>0</v>
      </c>
      <c r="AS50" s="13">
        <v>0</v>
      </c>
    </row>
    <row r="51" spans="1:45" ht="12.75">
      <c r="A51" s="240" t="s">
        <v>36</v>
      </c>
      <c r="B51" s="240"/>
      <c r="C51" s="240"/>
      <c r="E51" s="40" t="s">
        <v>438</v>
      </c>
      <c r="F51" s="18">
        <v>0</v>
      </c>
      <c r="G51" s="18">
        <v>0</v>
      </c>
      <c r="H51" s="18">
        <v>0</v>
      </c>
      <c r="I51" s="18">
        <v>0</v>
      </c>
      <c r="J51" s="18">
        <v>0</v>
      </c>
      <c r="K51" s="18">
        <v>0</v>
      </c>
      <c r="L51" s="18">
        <v>0</v>
      </c>
      <c r="M51" s="18">
        <v>0</v>
      </c>
      <c r="N51" s="18">
        <v>0</v>
      </c>
      <c r="O51" s="18">
        <v>0</v>
      </c>
      <c r="P51" s="18">
        <v>0</v>
      </c>
      <c r="Q51" s="18">
        <v>0</v>
      </c>
      <c r="R51" s="18">
        <v>0</v>
      </c>
      <c r="S51" s="18">
        <v>0</v>
      </c>
      <c r="T51" s="18">
        <v>0</v>
      </c>
      <c r="U51" s="18">
        <v>0</v>
      </c>
      <c r="V51" s="18">
        <v>0</v>
      </c>
      <c r="W51" s="18">
        <v>0</v>
      </c>
      <c r="X51" s="18">
        <v>0</v>
      </c>
      <c r="Y51" s="18">
        <v>0</v>
      </c>
      <c r="Z51" s="18">
        <v>0</v>
      </c>
      <c r="AA51" s="18">
        <v>0</v>
      </c>
      <c r="AB51" s="18">
        <v>0</v>
      </c>
      <c r="AC51" s="18">
        <v>0</v>
      </c>
      <c r="AD51" s="18">
        <v>0</v>
      </c>
      <c r="AE51" s="18">
        <v>0</v>
      </c>
      <c r="AF51" s="18">
        <v>0</v>
      </c>
      <c r="AG51" s="13">
        <v>-975</v>
      </c>
      <c r="AH51" s="13">
        <v>-18</v>
      </c>
      <c r="AI51" s="13">
        <v>-199</v>
      </c>
      <c r="AJ51" s="13">
        <v>-199</v>
      </c>
      <c r="AK51" s="13">
        <v>-199</v>
      </c>
      <c r="AL51" s="13">
        <v>0</v>
      </c>
      <c r="AM51" s="13">
        <v>0</v>
      </c>
      <c r="AN51" s="13">
        <v>0</v>
      </c>
      <c r="AO51" s="13">
        <v>0</v>
      </c>
      <c r="AP51" s="13">
        <v>0</v>
      </c>
      <c r="AQ51" s="13">
        <v>0</v>
      </c>
      <c r="AR51" s="13">
        <v>0</v>
      </c>
      <c r="AS51" s="13">
        <v>0</v>
      </c>
    </row>
    <row r="52" spans="1:45" ht="12.75">
      <c r="A52" s="240" t="s">
        <v>36</v>
      </c>
      <c r="B52" s="240"/>
      <c r="C52" s="240"/>
      <c r="E52" s="40" t="s">
        <v>434</v>
      </c>
      <c r="F52" s="18">
        <v>0</v>
      </c>
      <c r="G52" s="18">
        <v>0</v>
      </c>
      <c r="H52" s="18">
        <v>0</v>
      </c>
      <c r="I52" s="18">
        <v>0</v>
      </c>
      <c r="J52" s="18">
        <v>0</v>
      </c>
      <c r="K52" s="18">
        <v>0</v>
      </c>
      <c r="L52" s="18">
        <v>0</v>
      </c>
      <c r="M52" s="18">
        <v>0</v>
      </c>
      <c r="N52" s="18">
        <v>0</v>
      </c>
      <c r="O52" s="18">
        <v>0</v>
      </c>
      <c r="P52" s="18">
        <v>0</v>
      </c>
      <c r="Q52" s="18">
        <v>0</v>
      </c>
      <c r="R52" s="18">
        <v>0</v>
      </c>
      <c r="S52" s="18">
        <v>0</v>
      </c>
      <c r="T52" s="18">
        <v>0</v>
      </c>
      <c r="U52" s="18">
        <v>0</v>
      </c>
      <c r="V52" s="18">
        <v>0</v>
      </c>
      <c r="W52" s="18">
        <v>0</v>
      </c>
      <c r="X52" s="18">
        <v>0</v>
      </c>
      <c r="Y52" s="18">
        <v>0</v>
      </c>
      <c r="Z52" s="18">
        <v>0</v>
      </c>
      <c r="AA52" s="18">
        <v>0</v>
      </c>
      <c r="AB52" s="18">
        <v>0</v>
      </c>
      <c r="AC52" s="18">
        <v>0</v>
      </c>
      <c r="AD52" s="18">
        <v>0</v>
      </c>
      <c r="AE52" s="18">
        <v>0</v>
      </c>
      <c r="AF52" s="18">
        <v>0</v>
      </c>
      <c r="AG52" s="13">
        <v>-906</v>
      </c>
      <c r="AH52" s="13">
        <v>0</v>
      </c>
      <c r="AI52" s="13">
        <v>0</v>
      </c>
      <c r="AJ52" s="13">
        <v>0</v>
      </c>
      <c r="AK52" s="13">
        <v>0</v>
      </c>
      <c r="AL52" s="13">
        <v>0</v>
      </c>
      <c r="AM52" s="13">
        <v>0</v>
      </c>
      <c r="AN52" s="13">
        <v>0</v>
      </c>
      <c r="AO52" s="13">
        <v>0</v>
      </c>
      <c r="AP52" s="13">
        <v>0</v>
      </c>
      <c r="AQ52" s="13">
        <v>0</v>
      </c>
      <c r="AR52" s="13">
        <v>0</v>
      </c>
      <c r="AS52" s="13">
        <v>0</v>
      </c>
    </row>
    <row r="53" spans="1:45" ht="12.75">
      <c r="A53" s="240" t="s">
        <v>36</v>
      </c>
      <c r="B53" s="240"/>
      <c r="C53" s="240"/>
      <c r="E53" s="92" t="s">
        <v>119</v>
      </c>
      <c r="F53" s="92">
        <v>0</v>
      </c>
      <c r="G53" s="92">
        <v>0</v>
      </c>
      <c r="H53" s="92">
        <v>0</v>
      </c>
      <c r="I53" s="92">
        <v>0</v>
      </c>
      <c r="J53" s="92">
        <v>34</v>
      </c>
      <c r="K53" s="92">
        <v>34</v>
      </c>
      <c r="L53" s="92">
        <v>87</v>
      </c>
      <c r="M53" s="92">
        <v>132</v>
      </c>
      <c r="N53" s="92">
        <v>0</v>
      </c>
      <c r="O53" s="92">
        <v>0</v>
      </c>
      <c r="P53" s="92">
        <v>56</v>
      </c>
      <c r="Q53" s="92">
        <v>56</v>
      </c>
      <c r="R53" s="92">
        <v>0</v>
      </c>
      <c r="S53" s="92">
        <v>0</v>
      </c>
      <c r="T53" s="17">
        <v>0</v>
      </c>
      <c r="U53" s="92">
        <v>20</v>
      </c>
      <c r="V53" s="92">
        <v>0</v>
      </c>
      <c r="W53" s="92">
        <v>0</v>
      </c>
      <c r="X53" s="2">
        <v>20</v>
      </c>
      <c r="Y53" s="2">
        <v>20</v>
      </c>
      <c r="Z53" s="17">
        <v>0</v>
      </c>
      <c r="AA53" s="17">
        <v>0</v>
      </c>
      <c r="AB53" s="17">
        <v>0</v>
      </c>
      <c r="AC53" s="17">
        <v>0</v>
      </c>
      <c r="AD53" s="17">
        <v>0</v>
      </c>
      <c r="AE53" s="17">
        <v>0</v>
      </c>
      <c r="AF53" s="18">
        <v>0</v>
      </c>
      <c r="AG53" s="18">
        <v>0</v>
      </c>
      <c r="AH53" s="18">
        <v>0</v>
      </c>
      <c r="AI53" s="13">
        <v>0</v>
      </c>
      <c r="AJ53" s="13">
        <v>0</v>
      </c>
      <c r="AK53" s="13">
        <v>173</v>
      </c>
      <c r="AL53" s="13">
        <v>0</v>
      </c>
      <c r="AM53" s="13">
        <v>0</v>
      </c>
      <c r="AN53" s="13">
        <v>0</v>
      </c>
      <c r="AO53" s="13">
        <v>0</v>
      </c>
      <c r="AP53" s="13">
        <v>0</v>
      </c>
      <c r="AQ53" s="13">
        <v>0</v>
      </c>
      <c r="AR53" s="13">
        <v>0</v>
      </c>
      <c r="AS53" s="13">
        <v>0</v>
      </c>
    </row>
    <row r="54" spans="1:45" ht="12.75">
      <c r="A54" s="240" t="s">
        <v>36</v>
      </c>
      <c r="B54" s="240"/>
      <c r="C54" s="240"/>
      <c r="E54" s="40" t="s">
        <v>513</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2">
        <v>0</v>
      </c>
      <c r="AC54" s="92">
        <v>0</v>
      </c>
      <c r="AD54" s="92">
        <v>0</v>
      </c>
      <c r="AE54" s="92">
        <v>0</v>
      </c>
      <c r="AF54" s="92">
        <v>0</v>
      </c>
      <c r="AG54" s="92">
        <v>0</v>
      </c>
      <c r="AH54" s="18">
        <v>0</v>
      </c>
      <c r="AI54" s="13">
        <v>0</v>
      </c>
      <c r="AJ54" s="13">
        <v>-50</v>
      </c>
      <c r="AK54" s="13">
        <v>-149</v>
      </c>
      <c r="AL54" s="106">
        <v>-64</v>
      </c>
      <c r="AM54" s="106">
        <v>-258</v>
      </c>
      <c r="AN54" s="106">
        <v>-400</v>
      </c>
      <c r="AO54" s="106">
        <v>-2059</v>
      </c>
      <c r="AP54" s="106">
        <v>0</v>
      </c>
      <c r="AQ54" s="106">
        <v>0</v>
      </c>
      <c r="AR54" s="106">
        <v>0</v>
      </c>
      <c r="AS54" s="106">
        <v>0</v>
      </c>
    </row>
    <row r="55" spans="1:45" ht="12.75">
      <c r="A55" s="240" t="s">
        <v>36</v>
      </c>
      <c r="B55" s="240"/>
      <c r="C55" s="240"/>
      <c r="E55" s="40" t="s">
        <v>514</v>
      </c>
      <c r="F55" s="92">
        <v>0</v>
      </c>
      <c r="G55" s="92">
        <v>0</v>
      </c>
      <c r="H55" s="92">
        <v>0</v>
      </c>
      <c r="I55" s="92">
        <v>0</v>
      </c>
      <c r="J55" s="92">
        <v>0</v>
      </c>
      <c r="K55" s="92">
        <v>0</v>
      </c>
      <c r="L55" s="92">
        <v>0</v>
      </c>
      <c r="M55" s="92">
        <v>0</v>
      </c>
      <c r="N55" s="92">
        <v>0</v>
      </c>
      <c r="O55" s="92">
        <v>0</v>
      </c>
      <c r="P55" s="92">
        <v>0</v>
      </c>
      <c r="Q55" s="92">
        <v>0</v>
      </c>
      <c r="R55" s="92">
        <v>0</v>
      </c>
      <c r="S55" s="92">
        <v>0</v>
      </c>
      <c r="T55" s="92">
        <v>0</v>
      </c>
      <c r="U55" s="92">
        <v>0</v>
      </c>
      <c r="V55" s="92">
        <v>0</v>
      </c>
      <c r="W55" s="92">
        <v>0</v>
      </c>
      <c r="X55" s="92">
        <v>0</v>
      </c>
      <c r="Y55" s="92">
        <v>0</v>
      </c>
      <c r="Z55" s="92">
        <v>0</v>
      </c>
      <c r="AA55" s="92">
        <v>0</v>
      </c>
      <c r="AB55" s="92">
        <v>0</v>
      </c>
      <c r="AC55" s="92">
        <v>0</v>
      </c>
      <c r="AD55" s="92">
        <v>0</v>
      </c>
      <c r="AE55" s="92">
        <v>0</v>
      </c>
      <c r="AF55" s="92">
        <v>0</v>
      </c>
      <c r="AG55" s="92">
        <v>0</v>
      </c>
      <c r="AH55" s="92">
        <v>0</v>
      </c>
      <c r="AI55" s="92">
        <v>0</v>
      </c>
      <c r="AJ55" s="92">
        <v>0</v>
      </c>
      <c r="AK55" s="13">
        <v>0</v>
      </c>
      <c r="AL55" s="13">
        <v>0</v>
      </c>
      <c r="AM55" s="13">
        <v>0</v>
      </c>
      <c r="AN55" s="13">
        <v>0</v>
      </c>
      <c r="AO55" s="106">
        <v>-190</v>
      </c>
      <c r="AP55" s="13">
        <v>0</v>
      </c>
      <c r="AQ55" s="13">
        <v>0</v>
      </c>
      <c r="AR55" s="13">
        <v>0</v>
      </c>
      <c r="AS55" s="106">
        <v>0</v>
      </c>
    </row>
    <row r="56" spans="1:45" ht="12.75">
      <c r="A56" s="240" t="s">
        <v>37</v>
      </c>
      <c r="B56" s="240"/>
      <c r="C56" s="240"/>
      <c r="E56" s="34" t="s">
        <v>27</v>
      </c>
      <c r="F56" s="34">
        <f>SUM(F44:F53)</f>
        <v>0</v>
      </c>
      <c r="G56" s="34">
        <f>SUM(G44:G53)</f>
        <v>-31</v>
      </c>
      <c r="H56" s="34">
        <f>SUM(H44:H53)</f>
        <v>-31</v>
      </c>
      <c r="I56" s="34">
        <f>SUM(I44:I53)</f>
        <v>-362</v>
      </c>
      <c r="J56" s="34">
        <f>SUM(J44:J53)</f>
        <v>34</v>
      </c>
      <c r="K56" s="34">
        <v>-505</v>
      </c>
      <c r="L56" s="34">
        <f>SUM(L44:L53)</f>
        <v>-397</v>
      </c>
      <c r="M56" s="34">
        <v>-355</v>
      </c>
      <c r="N56" s="34">
        <f>SUM(N44:N53)</f>
        <v>-424</v>
      </c>
      <c r="O56" s="34">
        <v>-399</v>
      </c>
      <c r="P56" s="34">
        <v>-343</v>
      </c>
      <c r="Q56" s="34">
        <v>-1561</v>
      </c>
      <c r="R56" s="34">
        <v>-95</v>
      </c>
      <c r="S56" s="34">
        <v>-302</v>
      </c>
      <c r="T56" s="90">
        <v>0</v>
      </c>
      <c r="U56" s="34">
        <v>-1064</v>
      </c>
      <c r="V56" s="34">
        <v>0</v>
      </c>
      <c r="W56" s="34">
        <v>0</v>
      </c>
      <c r="X56" s="34">
        <v>-34</v>
      </c>
      <c r="Y56" s="34">
        <v>-138</v>
      </c>
      <c r="Z56" s="90">
        <v>0</v>
      </c>
      <c r="AA56" s="90">
        <v>0</v>
      </c>
      <c r="AB56" s="90">
        <v>0</v>
      </c>
      <c r="AC56" s="130">
        <v>-1032</v>
      </c>
      <c r="AD56" s="130">
        <v>-82</v>
      </c>
      <c r="AE56" s="130">
        <v>-82</v>
      </c>
      <c r="AF56" s="130">
        <v>-82</v>
      </c>
      <c r="AG56" s="130">
        <v>-2475</v>
      </c>
      <c r="AH56" s="130">
        <v>-18</v>
      </c>
      <c r="AI56" s="130">
        <v>-1122</v>
      </c>
      <c r="AJ56" s="130">
        <v>-1172</v>
      </c>
      <c r="AK56" s="130">
        <v>-1348</v>
      </c>
      <c r="AL56" s="130">
        <v>-64</v>
      </c>
      <c r="AM56" s="130">
        <v>-258</v>
      </c>
      <c r="AN56" s="130">
        <v>-400</v>
      </c>
      <c r="AO56" s="130">
        <v>-2249</v>
      </c>
      <c r="AP56" s="130">
        <v>0</v>
      </c>
      <c r="AQ56" s="130">
        <v>0</v>
      </c>
      <c r="AR56" s="130">
        <v>0</v>
      </c>
      <c r="AS56" s="130">
        <v>0</v>
      </c>
    </row>
    <row r="57" spans="1:41" ht="12.75">
      <c r="A57" s="240" t="s">
        <v>38</v>
      </c>
      <c r="B57" s="240"/>
      <c r="C57" s="240"/>
      <c r="E57" s="34"/>
      <c r="F57" s="34"/>
      <c r="G57" s="34"/>
      <c r="H57" s="34"/>
      <c r="I57" s="34"/>
      <c r="J57" s="34"/>
      <c r="K57" s="34"/>
      <c r="L57" s="34"/>
      <c r="M57" s="34"/>
      <c r="N57" s="34"/>
      <c r="O57" s="34"/>
      <c r="P57" s="34"/>
      <c r="Q57" s="34"/>
      <c r="R57" s="34"/>
      <c r="S57" s="34"/>
      <c r="T57" s="90"/>
      <c r="U57" s="34"/>
      <c r="V57" s="34"/>
      <c r="W57" s="34"/>
      <c r="X57" s="34"/>
      <c r="Y57" s="34"/>
      <c r="Z57" s="90"/>
      <c r="AA57" s="90"/>
      <c r="AB57" s="90"/>
      <c r="AC57" s="130"/>
      <c r="AD57" s="130"/>
      <c r="AE57" s="130"/>
      <c r="AF57" s="130"/>
      <c r="AG57" s="130"/>
      <c r="AH57" s="130"/>
      <c r="AI57" s="130"/>
      <c r="AJ57" s="130"/>
      <c r="AK57" s="130"/>
      <c r="AL57" s="130"/>
      <c r="AM57" s="130"/>
      <c r="AN57" s="130"/>
      <c r="AO57" s="130"/>
    </row>
    <row r="58" spans="1:5" ht="78.75">
      <c r="A58" s="240" t="s">
        <v>76</v>
      </c>
      <c r="B58" s="240"/>
      <c r="C58" s="240"/>
      <c r="E58" s="290" t="s">
        <v>507</v>
      </c>
    </row>
  </sheetData>
  <sheetProtection/>
  <printOptions/>
  <pageMargins left="0.75" right="0.75" top="1" bottom="1" header="0.5" footer="0.5"/>
  <pageSetup fitToHeight="1" fitToWidth="1" horizontalDpi="600" verticalDpi="600" orientation="landscape" paperSize="8" scale="89" r:id="rId1"/>
</worksheet>
</file>

<file path=xl/worksheets/sheet5.xml><?xml version="1.0" encoding="utf-8"?>
<worksheet xmlns="http://schemas.openxmlformats.org/spreadsheetml/2006/main" xmlns:r="http://schemas.openxmlformats.org/officeDocument/2006/relationships">
  <sheetPr>
    <pageSetUpPr fitToPage="1"/>
  </sheetPr>
  <dimension ref="A1:AS52"/>
  <sheetViews>
    <sheetView zoomScaleSheetLayoutView="80" zoomScalePageLayoutView="0" workbookViewId="0" topLeftCell="A1">
      <selection activeCell="AS2" sqref="AS2"/>
    </sheetView>
  </sheetViews>
  <sheetFormatPr defaultColWidth="9.140625" defaultRowHeight="12.75"/>
  <cols>
    <col min="1" max="1" width="11.7109375" style="240" bestFit="1" customWidth="1"/>
    <col min="2" max="2" width="12.140625" style="92" customWidth="1"/>
    <col min="3" max="3" width="11.140625" style="92" customWidth="1"/>
    <col min="4" max="4" width="27.57421875" style="92" hidden="1" customWidth="1"/>
    <col min="5" max="5" width="43.57421875" style="92" customWidth="1"/>
    <col min="6" max="15" width="11.00390625" style="92" hidden="1" customWidth="1"/>
    <col min="16" max="16" width="11.7109375" style="92" hidden="1" customWidth="1"/>
    <col min="17" max="17" width="11.8515625" style="92" hidden="1" customWidth="1"/>
    <col min="18" max="18" width="9.8515625" style="92" hidden="1" customWidth="1"/>
    <col min="19" max="19" width="10.00390625" style="92" hidden="1" customWidth="1"/>
    <col min="20" max="21" width="11.140625" style="92" hidden="1" customWidth="1"/>
    <col min="22" max="24" width="11.28125" style="92" hidden="1" customWidth="1"/>
    <col min="25" max="29" width="8.8515625" style="92" hidden="1" customWidth="1"/>
    <col min="30" max="37" width="9.140625" style="92" hidden="1" customWidth="1"/>
    <col min="38" max="38" width="9.140625" style="92" customWidth="1"/>
    <col min="39" max="16384" width="9.140625" style="92" customWidth="1"/>
  </cols>
  <sheetData>
    <row r="1" spans="1:5" ht="17.25">
      <c r="A1" s="250">
        <f>+'Income_statement-Q'!A1</f>
        <v>42735</v>
      </c>
      <c r="B1" s="97" t="s">
        <v>141</v>
      </c>
      <c r="C1" s="98"/>
      <c r="D1" s="99" t="str">
        <f>Company</f>
        <v>AB Electrolux</v>
      </c>
      <c r="E1" s="99" t="str">
        <f>Company</f>
        <v>AB Electrolux</v>
      </c>
    </row>
    <row r="2" spans="1:33" ht="12.75">
      <c r="A2" s="250"/>
      <c r="B2" s="97" t="s">
        <v>143</v>
      </c>
      <c r="C2" s="98"/>
      <c r="D2" s="100">
        <f>A1</f>
        <v>42735</v>
      </c>
      <c r="E2" s="101">
        <f>A1</f>
        <v>42735</v>
      </c>
      <c r="AF2" s="40"/>
      <c r="AG2" s="40"/>
    </row>
    <row r="3" spans="1:5" ht="12.75">
      <c r="A3" s="250"/>
      <c r="B3" s="97" t="s">
        <v>144</v>
      </c>
      <c r="C3" s="98" t="s">
        <v>145</v>
      </c>
      <c r="D3" s="102" t="s">
        <v>146</v>
      </c>
      <c r="E3" s="102" t="s">
        <v>147</v>
      </c>
    </row>
    <row r="4" spans="1:7" ht="12.75">
      <c r="A4" s="240" t="s">
        <v>34</v>
      </c>
      <c r="B4" s="97" t="s">
        <v>148</v>
      </c>
      <c r="C4" s="40"/>
      <c r="D4" s="34" t="s">
        <v>341</v>
      </c>
      <c r="E4" s="34" t="s">
        <v>341</v>
      </c>
      <c r="F4" s="34"/>
      <c r="G4" s="34"/>
    </row>
    <row r="5" spans="2:30" ht="12.75">
      <c r="B5" s="97" t="s">
        <v>150</v>
      </c>
      <c r="C5" s="103" t="s">
        <v>284</v>
      </c>
      <c r="D5" s="34"/>
      <c r="E5" s="34"/>
      <c r="F5" s="34"/>
      <c r="G5" s="34"/>
      <c r="Y5" s="168"/>
      <c r="Z5" s="168"/>
      <c r="AA5" s="168"/>
      <c r="AB5" s="168"/>
      <c r="AC5" s="168"/>
      <c r="AD5" s="168"/>
    </row>
    <row r="6" spans="1:45" s="153"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155"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row>
    <row r="7" spans="1:5" s="33" customFormat="1" ht="12.75">
      <c r="A7" s="238" t="s">
        <v>571</v>
      </c>
      <c r="B7" s="238"/>
      <c r="C7" s="238"/>
      <c r="E7" s="33" t="s">
        <v>31</v>
      </c>
    </row>
    <row r="8" spans="1:24" s="90" customFormat="1" ht="12.75">
      <c r="A8" s="243" t="s">
        <v>35</v>
      </c>
      <c r="B8" s="243"/>
      <c r="C8" s="243"/>
      <c r="E8" s="159" t="s">
        <v>40</v>
      </c>
      <c r="F8" s="159"/>
      <c r="G8" s="159"/>
      <c r="H8" s="14"/>
      <c r="I8" s="14"/>
      <c r="J8" s="14"/>
      <c r="K8" s="14"/>
      <c r="L8" s="14"/>
      <c r="M8" s="14"/>
      <c r="N8" s="14"/>
      <c r="O8" s="14"/>
      <c r="P8" s="14"/>
      <c r="Q8" s="14"/>
      <c r="R8" s="14"/>
      <c r="S8" s="14"/>
      <c r="T8" s="14"/>
      <c r="U8" s="14"/>
      <c r="V8" s="14"/>
      <c r="W8" s="14"/>
      <c r="X8" s="14"/>
    </row>
    <row r="9" spans="1:45" ht="12.75">
      <c r="A9" s="240" t="s">
        <v>36</v>
      </c>
      <c r="B9" s="240"/>
      <c r="C9" s="240"/>
      <c r="E9" s="93" t="s">
        <v>41</v>
      </c>
      <c r="F9" s="2">
        <v>14823</v>
      </c>
      <c r="G9" s="2">
        <v>15094</v>
      </c>
      <c r="H9" s="2">
        <v>14988</v>
      </c>
      <c r="I9" s="2">
        <v>15205</v>
      </c>
      <c r="J9" s="2">
        <v>14546</v>
      </c>
      <c r="K9" s="2">
        <v>15026</v>
      </c>
      <c r="L9" s="2">
        <v>16008</v>
      </c>
      <c r="M9" s="2">
        <v>17035</v>
      </c>
      <c r="N9" s="2">
        <v>16757</v>
      </c>
      <c r="O9" s="2">
        <v>16383</v>
      </c>
      <c r="P9" s="2">
        <v>15275</v>
      </c>
      <c r="Q9" s="2">
        <v>15315</v>
      </c>
      <c r="R9" s="2">
        <v>14738</v>
      </c>
      <c r="S9" s="2">
        <v>15037</v>
      </c>
      <c r="T9" s="2">
        <v>14199</v>
      </c>
      <c r="U9" s="2">
        <v>14630</v>
      </c>
      <c r="V9" s="2">
        <v>14038</v>
      </c>
      <c r="W9" s="2">
        <v>14499</v>
      </c>
      <c r="X9" s="2">
        <v>15189</v>
      </c>
      <c r="Y9" s="2">
        <v>15613</v>
      </c>
      <c r="Z9" s="2">
        <v>15874</v>
      </c>
      <c r="AA9" s="2">
        <v>16399</v>
      </c>
      <c r="AB9" s="2">
        <v>16009</v>
      </c>
      <c r="AC9" s="2">
        <v>16693</v>
      </c>
      <c r="AD9" s="2">
        <v>16526</v>
      </c>
      <c r="AE9" s="2">
        <v>16970</v>
      </c>
      <c r="AF9" s="2">
        <v>16672</v>
      </c>
      <c r="AG9" s="2">
        <v>17264</v>
      </c>
      <c r="AH9" s="2">
        <v>17106</v>
      </c>
      <c r="AI9" s="106">
        <v>17460</v>
      </c>
      <c r="AJ9" s="106">
        <v>17844</v>
      </c>
      <c r="AK9" s="106">
        <v>18934</v>
      </c>
      <c r="AL9" s="106">
        <v>19628</v>
      </c>
      <c r="AM9" s="106">
        <v>18829</v>
      </c>
      <c r="AN9" s="106">
        <v>18409</v>
      </c>
      <c r="AO9" s="106">
        <v>18450</v>
      </c>
      <c r="AP9" s="106">
        <v>17971</v>
      </c>
      <c r="AQ9" s="106">
        <v>18421</v>
      </c>
      <c r="AR9" s="106">
        <v>18666</v>
      </c>
      <c r="AS9" s="106">
        <v>18725</v>
      </c>
    </row>
    <row r="10" spans="1:45" ht="12.75">
      <c r="A10" s="240" t="s">
        <v>36</v>
      </c>
      <c r="B10" s="240"/>
      <c r="C10" s="240"/>
      <c r="E10" s="93" t="s">
        <v>42</v>
      </c>
      <c r="F10" s="2">
        <v>2054</v>
      </c>
      <c r="G10" s="2">
        <v>2078</v>
      </c>
      <c r="H10" s="2">
        <v>2032</v>
      </c>
      <c r="I10" s="2">
        <v>2024</v>
      </c>
      <c r="J10" s="2">
        <v>1945</v>
      </c>
      <c r="K10" s="2">
        <v>2026</v>
      </c>
      <c r="L10" s="2">
        <v>2033</v>
      </c>
      <c r="M10" s="2">
        <v>2095</v>
      </c>
      <c r="N10" s="2">
        <v>2206</v>
      </c>
      <c r="O10" s="2">
        <v>2282</v>
      </c>
      <c r="P10" s="2">
        <v>2196</v>
      </c>
      <c r="Q10" s="2">
        <v>2274</v>
      </c>
      <c r="R10" s="2">
        <v>2283</v>
      </c>
      <c r="S10" s="2">
        <v>2311</v>
      </c>
      <c r="T10" s="2">
        <v>2207</v>
      </c>
      <c r="U10" s="2">
        <v>2295</v>
      </c>
      <c r="V10" s="2">
        <v>2169</v>
      </c>
      <c r="W10" s="2">
        <v>2249</v>
      </c>
      <c r="X10" s="2">
        <v>3806</v>
      </c>
      <c r="Y10" s="2">
        <v>6008</v>
      </c>
      <c r="Z10" s="2">
        <v>5756</v>
      </c>
      <c r="AA10" s="2">
        <v>5939</v>
      </c>
      <c r="AB10" s="2">
        <v>5618</v>
      </c>
      <c r="AC10" s="2">
        <v>5541</v>
      </c>
      <c r="AD10" s="2">
        <v>5396</v>
      </c>
      <c r="AE10" s="2">
        <v>5249</v>
      </c>
      <c r="AF10" s="2">
        <v>5006</v>
      </c>
      <c r="AG10" s="2">
        <v>4875</v>
      </c>
      <c r="AH10" s="2">
        <v>4777</v>
      </c>
      <c r="AI10" s="106">
        <v>4924</v>
      </c>
      <c r="AJ10" s="106">
        <v>5103</v>
      </c>
      <c r="AK10" s="106">
        <v>5350</v>
      </c>
      <c r="AL10" s="106">
        <v>5604</v>
      </c>
      <c r="AM10" s="106">
        <v>5371</v>
      </c>
      <c r="AN10" s="106">
        <v>5309</v>
      </c>
      <c r="AO10" s="106">
        <v>5200</v>
      </c>
      <c r="AP10" s="106">
        <v>4942</v>
      </c>
      <c r="AQ10" s="106">
        <v>5121</v>
      </c>
      <c r="AR10" s="106">
        <v>5345</v>
      </c>
      <c r="AS10" s="106">
        <v>4742</v>
      </c>
    </row>
    <row r="11" spans="1:45" ht="12.75">
      <c r="A11" s="240" t="s">
        <v>36</v>
      </c>
      <c r="B11" s="240"/>
      <c r="C11" s="240"/>
      <c r="E11" s="93" t="s">
        <v>43</v>
      </c>
      <c r="F11" s="2">
        <v>1824</v>
      </c>
      <c r="G11" s="2">
        <v>1833</v>
      </c>
      <c r="H11" s="2">
        <v>1873</v>
      </c>
      <c r="I11" s="2">
        <v>2121</v>
      </c>
      <c r="J11" s="2">
        <v>2162</v>
      </c>
      <c r="K11" s="2">
        <v>2262</v>
      </c>
      <c r="L11" s="2">
        <v>2547</v>
      </c>
      <c r="M11" s="2">
        <v>2823</v>
      </c>
      <c r="N11" s="2">
        <v>2903</v>
      </c>
      <c r="O11" s="2">
        <v>2873</v>
      </c>
      <c r="P11" s="2">
        <v>2765</v>
      </c>
      <c r="Q11" s="2">
        <v>2999</v>
      </c>
      <c r="R11" s="2">
        <v>3054</v>
      </c>
      <c r="S11" s="2">
        <v>3175</v>
      </c>
      <c r="T11" s="2">
        <v>3132</v>
      </c>
      <c r="U11" s="2">
        <v>3276</v>
      </c>
      <c r="V11" s="2">
        <v>3311</v>
      </c>
      <c r="W11" s="2">
        <v>3460</v>
      </c>
      <c r="X11" s="2">
        <v>4149</v>
      </c>
      <c r="Y11" s="2">
        <v>5146</v>
      </c>
      <c r="Z11" s="2">
        <v>5040</v>
      </c>
      <c r="AA11" s="2">
        <v>5099</v>
      </c>
      <c r="AB11" s="2">
        <v>4977</v>
      </c>
      <c r="AC11" s="2">
        <v>5079</v>
      </c>
      <c r="AD11" s="2">
        <v>5033</v>
      </c>
      <c r="AE11" s="2">
        <v>5107</v>
      </c>
      <c r="AF11" s="2">
        <v>5013</v>
      </c>
      <c r="AG11" s="2">
        <v>4011</v>
      </c>
      <c r="AH11" s="2">
        <v>3822</v>
      </c>
      <c r="AI11" s="106">
        <v>3786</v>
      </c>
      <c r="AJ11" s="106">
        <v>3806</v>
      </c>
      <c r="AK11" s="106">
        <v>3878</v>
      </c>
      <c r="AL11" s="106">
        <v>3839</v>
      </c>
      <c r="AM11" s="106">
        <v>3654</v>
      </c>
      <c r="AN11" s="106">
        <v>3510</v>
      </c>
      <c r="AO11" s="106">
        <v>3401</v>
      </c>
      <c r="AP11" s="106">
        <v>3144</v>
      </c>
      <c r="AQ11" s="106">
        <v>3150</v>
      </c>
      <c r="AR11" s="106">
        <v>3155</v>
      </c>
      <c r="AS11" s="106">
        <v>3112</v>
      </c>
    </row>
    <row r="12" spans="1:45" ht="12.75">
      <c r="A12" s="240" t="s">
        <v>36</v>
      </c>
      <c r="B12" s="240"/>
      <c r="C12" s="240"/>
      <c r="E12" s="93" t="s">
        <v>44</v>
      </c>
      <c r="F12" s="2">
        <v>83</v>
      </c>
      <c r="G12" s="2">
        <v>83</v>
      </c>
      <c r="H12" s="2">
        <v>32</v>
      </c>
      <c r="I12" s="2">
        <v>32</v>
      </c>
      <c r="J12" s="2">
        <v>30</v>
      </c>
      <c r="K12" s="2">
        <v>26</v>
      </c>
      <c r="L12" s="2">
        <v>29</v>
      </c>
      <c r="M12" s="2">
        <v>27</v>
      </c>
      <c r="N12" s="2">
        <v>20</v>
      </c>
      <c r="O12" s="2">
        <v>19</v>
      </c>
      <c r="P12" s="2">
        <v>19</v>
      </c>
      <c r="Q12" s="2">
        <v>19</v>
      </c>
      <c r="R12" s="2">
        <v>18</v>
      </c>
      <c r="S12" s="2">
        <v>18</v>
      </c>
      <c r="T12" s="2">
        <v>17</v>
      </c>
      <c r="U12" s="2">
        <v>17</v>
      </c>
      <c r="V12" s="2">
        <v>16</v>
      </c>
      <c r="W12" s="2">
        <v>17</v>
      </c>
      <c r="X12" s="2">
        <v>18</v>
      </c>
      <c r="Y12" s="2">
        <v>18</v>
      </c>
      <c r="Z12" s="2">
        <v>17</v>
      </c>
      <c r="AA12" s="2">
        <v>17</v>
      </c>
      <c r="AB12" s="2">
        <v>12</v>
      </c>
      <c r="AC12" s="2">
        <v>16</v>
      </c>
      <c r="AD12" s="2">
        <v>212</v>
      </c>
      <c r="AE12" s="2">
        <v>216</v>
      </c>
      <c r="AF12" s="2">
        <v>220</v>
      </c>
      <c r="AG12" s="2">
        <v>221</v>
      </c>
      <c r="AH12" s="2">
        <v>225</v>
      </c>
      <c r="AI12" s="106">
        <v>222</v>
      </c>
      <c r="AJ12" s="106">
        <v>224</v>
      </c>
      <c r="AK12" s="106">
        <v>228</v>
      </c>
      <c r="AL12" s="106">
        <v>230</v>
      </c>
      <c r="AM12" s="106">
        <v>232</v>
      </c>
      <c r="AN12" s="106">
        <v>207</v>
      </c>
      <c r="AO12" s="106">
        <v>209</v>
      </c>
      <c r="AP12" s="106">
        <v>211</v>
      </c>
      <c r="AQ12" s="106">
        <v>205</v>
      </c>
      <c r="AR12" s="106">
        <v>208</v>
      </c>
      <c r="AS12" s="106">
        <v>210</v>
      </c>
    </row>
    <row r="13" spans="1:45" ht="12.75">
      <c r="A13" s="240" t="s">
        <v>36</v>
      </c>
      <c r="B13" s="240"/>
      <c r="C13" s="240"/>
      <c r="E13" s="93" t="s">
        <v>45</v>
      </c>
      <c r="F13" s="2">
        <v>2409</v>
      </c>
      <c r="G13" s="2">
        <v>2256</v>
      </c>
      <c r="H13" s="2">
        <v>2349</v>
      </c>
      <c r="I13" s="2">
        <v>2141</v>
      </c>
      <c r="J13" s="2">
        <v>1983</v>
      </c>
      <c r="K13" s="2">
        <v>2111</v>
      </c>
      <c r="L13" s="2">
        <v>2505</v>
      </c>
      <c r="M13" s="2">
        <v>3180</v>
      </c>
      <c r="N13" s="2">
        <v>3483</v>
      </c>
      <c r="O13" s="2">
        <v>3078</v>
      </c>
      <c r="P13" s="2">
        <v>2718</v>
      </c>
      <c r="Q13" s="2">
        <v>2693</v>
      </c>
      <c r="R13" s="2">
        <v>2692</v>
      </c>
      <c r="S13" s="2">
        <v>2789</v>
      </c>
      <c r="T13" s="2">
        <v>2364</v>
      </c>
      <c r="U13" s="2">
        <v>2981</v>
      </c>
      <c r="V13" s="2">
        <v>2928</v>
      </c>
      <c r="W13" s="2">
        <v>3135</v>
      </c>
      <c r="X13" s="2">
        <v>2839</v>
      </c>
      <c r="Y13" s="2">
        <v>3669</v>
      </c>
      <c r="Z13" s="2">
        <v>3588</v>
      </c>
      <c r="AA13" s="2">
        <v>3858</v>
      </c>
      <c r="AB13" s="2">
        <v>3927</v>
      </c>
      <c r="AC13" s="2">
        <v>4156</v>
      </c>
      <c r="AD13" s="2">
        <v>3936</v>
      </c>
      <c r="AE13" s="2">
        <v>3886</v>
      </c>
      <c r="AF13" s="2">
        <v>3890</v>
      </c>
      <c r="AG13" s="2">
        <v>4385</v>
      </c>
      <c r="AH13" s="2">
        <v>4115</v>
      </c>
      <c r="AI13" s="106">
        <v>4427</v>
      </c>
      <c r="AJ13" s="106">
        <v>4908</v>
      </c>
      <c r="AK13" s="106">
        <v>5351</v>
      </c>
      <c r="AL13" s="106">
        <v>5837</v>
      </c>
      <c r="AM13" s="106">
        <v>5305</v>
      </c>
      <c r="AN13" s="106">
        <v>5372</v>
      </c>
      <c r="AO13" s="106">
        <v>5889</v>
      </c>
      <c r="AP13" s="106">
        <v>6186</v>
      </c>
      <c r="AQ13" s="106">
        <v>6198</v>
      </c>
      <c r="AR13" s="106">
        <v>6154</v>
      </c>
      <c r="AS13" s="106">
        <v>6168</v>
      </c>
    </row>
    <row r="14" spans="1:45" ht="12.75">
      <c r="A14" s="240" t="s">
        <v>36</v>
      </c>
      <c r="B14" s="240"/>
      <c r="C14" s="240"/>
      <c r="E14" s="93" t="s">
        <v>46</v>
      </c>
      <c r="F14" s="2">
        <v>430</v>
      </c>
      <c r="G14" s="2">
        <v>454</v>
      </c>
      <c r="H14" s="2">
        <v>470</v>
      </c>
      <c r="I14" s="2">
        <v>712</v>
      </c>
      <c r="J14" s="2">
        <v>332</v>
      </c>
      <c r="K14" s="2">
        <v>304</v>
      </c>
      <c r="L14" s="2">
        <v>278</v>
      </c>
      <c r="M14" s="2">
        <v>280</v>
      </c>
      <c r="N14" s="2">
        <v>264</v>
      </c>
      <c r="O14" s="2">
        <v>361</v>
      </c>
      <c r="P14" s="2">
        <v>416</v>
      </c>
      <c r="Q14" s="2">
        <v>434</v>
      </c>
      <c r="R14" s="2">
        <v>470</v>
      </c>
      <c r="S14" s="2">
        <v>476</v>
      </c>
      <c r="T14" s="2">
        <v>582</v>
      </c>
      <c r="U14" s="2">
        <v>577</v>
      </c>
      <c r="V14" s="2">
        <v>525</v>
      </c>
      <c r="W14" s="2">
        <v>542</v>
      </c>
      <c r="X14" s="2">
        <v>518</v>
      </c>
      <c r="Y14" s="2">
        <v>306</v>
      </c>
      <c r="Z14" s="2">
        <v>309</v>
      </c>
      <c r="AA14" s="2">
        <v>299</v>
      </c>
      <c r="AB14" s="2">
        <v>308</v>
      </c>
      <c r="AC14" s="2">
        <v>333</v>
      </c>
      <c r="AD14" s="2">
        <v>318</v>
      </c>
      <c r="AE14" s="2">
        <v>325</v>
      </c>
      <c r="AF14" s="2">
        <v>275</v>
      </c>
      <c r="AG14" s="2">
        <v>279</v>
      </c>
      <c r="AH14" s="2">
        <v>277</v>
      </c>
      <c r="AI14" s="106">
        <v>310</v>
      </c>
      <c r="AJ14" s="106">
        <v>308</v>
      </c>
      <c r="AK14" s="106">
        <v>312</v>
      </c>
      <c r="AL14" s="106">
        <v>323</v>
      </c>
      <c r="AM14" s="106">
        <v>319</v>
      </c>
      <c r="AN14" s="106">
        <v>303</v>
      </c>
      <c r="AO14" s="106">
        <v>284</v>
      </c>
      <c r="AP14" s="106">
        <v>267</v>
      </c>
      <c r="AQ14" s="106">
        <v>269</v>
      </c>
      <c r="AR14" s="106">
        <v>284</v>
      </c>
      <c r="AS14" s="106">
        <v>287</v>
      </c>
    </row>
    <row r="15" spans="1:45" ht="12.75">
      <c r="A15" s="240" t="s">
        <v>36</v>
      </c>
      <c r="B15" s="240"/>
      <c r="C15" s="240"/>
      <c r="E15" s="49" t="s">
        <v>417</v>
      </c>
      <c r="F15" s="2"/>
      <c r="G15" s="2"/>
      <c r="H15" s="2"/>
      <c r="I15" s="2"/>
      <c r="J15" s="2"/>
      <c r="K15" s="2"/>
      <c r="L15" s="2"/>
      <c r="M15" s="2"/>
      <c r="N15" s="2"/>
      <c r="O15" s="2"/>
      <c r="P15" s="2"/>
      <c r="Q15" s="2"/>
      <c r="R15" s="2"/>
      <c r="S15" s="2"/>
      <c r="T15" s="2"/>
      <c r="U15" s="2"/>
      <c r="V15" s="2"/>
      <c r="W15" s="2"/>
      <c r="X15" s="2"/>
      <c r="Y15" s="2">
        <v>371</v>
      </c>
      <c r="Z15" s="2">
        <v>471</v>
      </c>
      <c r="AA15" s="2">
        <v>544</v>
      </c>
      <c r="AB15" s="2">
        <v>376</v>
      </c>
      <c r="AC15" s="2">
        <v>286</v>
      </c>
      <c r="AD15" s="2">
        <v>284</v>
      </c>
      <c r="AE15" s="2">
        <v>559</v>
      </c>
      <c r="AF15" s="2">
        <v>335</v>
      </c>
      <c r="AG15" s="2">
        <v>445</v>
      </c>
      <c r="AH15" s="2">
        <v>451</v>
      </c>
      <c r="AI15" s="106">
        <v>485</v>
      </c>
      <c r="AJ15" s="106">
        <v>522</v>
      </c>
      <c r="AK15" s="106">
        <v>399</v>
      </c>
      <c r="AL15" s="106">
        <v>450</v>
      </c>
      <c r="AM15" s="106">
        <v>514</v>
      </c>
      <c r="AN15" s="106">
        <v>491</v>
      </c>
      <c r="AO15" s="106">
        <v>397</v>
      </c>
      <c r="AP15" s="106">
        <v>384</v>
      </c>
      <c r="AQ15" s="106">
        <v>408</v>
      </c>
      <c r="AR15" s="106">
        <v>307</v>
      </c>
      <c r="AS15" s="106">
        <v>345</v>
      </c>
    </row>
    <row r="16" spans="1:45" ht="12.75">
      <c r="A16" s="240" t="s">
        <v>36</v>
      </c>
      <c r="B16" s="240"/>
      <c r="C16" s="240"/>
      <c r="E16" s="93" t="s">
        <v>47</v>
      </c>
      <c r="F16" s="2">
        <v>1376</v>
      </c>
      <c r="G16" s="2">
        <v>1422</v>
      </c>
      <c r="H16" s="2">
        <v>1428</v>
      </c>
      <c r="I16" s="2">
        <v>1572</v>
      </c>
      <c r="J16" s="2">
        <v>1561</v>
      </c>
      <c r="K16" s="2">
        <v>1574</v>
      </c>
      <c r="L16" s="2">
        <v>1549</v>
      </c>
      <c r="M16" s="2">
        <v>1472</v>
      </c>
      <c r="N16" s="2">
        <v>1549</v>
      </c>
      <c r="O16" s="2">
        <v>1657</v>
      </c>
      <c r="P16" s="2">
        <v>1658</v>
      </c>
      <c r="Q16" s="2">
        <v>1745</v>
      </c>
      <c r="R16" s="2">
        <v>1731</v>
      </c>
      <c r="S16" s="2">
        <v>1815</v>
      </c>
      <c r="T16" s="2">
        <v>1748</v>
      </c>
      <c r="U16" s="2">
        <v>2836</v>
      </c>
      <c r="V16" s="2">
        <v>2802</v>
      </c>
      <c r="W16" s="2">
        <v>2949</v>
      </c>
      <c r="X16" s="2">
        <v>2938</v>
      </c>
      <c r="Y16" s="2">
        <v>1212</v>
      </c>
      <c r="Z16" s="2">
        <v>1218</v>
      </c>
      <c r="AA16" s="2">
        <v>1186</v>
      </c>
      <c r="AB16" s="2">
        <v>1184</v>
      </c>
      <c r="AC16" s="2">
        <v>481</v>
      </c>
      <c r="AD16" s="2">
        <v>577</v>
      </c>
      <c r="AE16" s="2">
        <v>690</v>
      </c>
      <c r="AF16" s="2">
        <v>697</v>
      </c>
      <c r="AG16" s="2">
        <v>752</v>
      </c>
      <c r="AH16" s="2">
        <v>832</v>
      </c>
      <c r="AI16" s="106">
        <v>936</v>
      </c>
      <c r="AJ16" s="106">
        <v>1040</v>
      </c>
      <c r="AK16" s="106">
        <v>1110</v>
      </c>
      <c r="AL16" s="106">
        <v>1260</v>
      </c>
      <c r="AM16" s="106">
        <v>1260</v>
      </c>
      <c r="AN16" s="106">
        <v>1312</v>
      </c>
      <c r="AO16" s="106">
        <v>858</v>
      </c>
      <c r="AP16" s="106">
        <v>785</v>
      </c>
      <c r="AQ16" s="106">
        <v>583</v>
      </c>
      <c r="AR16" s="106">
        <v>554</v>
      </c>
      <c r="AS16" s="106">
        <v>400</v>
      </c>
    </row>
    <row r="17" spans="1:45" ht="12.75">
      <c r="A17" s="240" t="s">
        <v>37</v>
      </c>
      <c r="B17" s="240"/>
      <c r="C17" s="240"/>
      <c r="E17" s="119" t="s">
        <v>48</v>
      </c>
      <c r="F17" s="1">
        <v>22999</v>
      </c>
      <c r="G17" s="1">
        <v>23220</v>
      </c>
      <c r="H17" s="1">
        <v>23172</v>
      </c>
      <c r="I17" s="1">
        <v>23807</v>
      </c>
      <c r="J17" s="1">
        <v>22559</v>
      </c>
      <c r="K17" s="1">
        <v>23329</v>
      </c>
      <c r="L17" s="1">
        <v>24949</v>
      </c>
      <c r="M17" s="1">
        <v>26912</v>
      </c>
      <c r="N17" s="1">
        <v>27182</v>
      </c>
      <c r="O17" s="1">
        <v>26653</v>
      </c>
      <c r="P17" s="1">
        <v>25047</v>
      </c>
      <c r="Q17" s="1">
        <v>25479</v>
      </c>
      <c r="R17" s="1">
        <v>24986</v>
      </c>
      <c r="S17" s="1">
        <v>25621</v>
      </c>
      <c r="T17" s="1">
        <v>24249</v>
      </c>
      <c r="U17" s="1">
        <v>26612</v>
      </c>
      <c r="V17" s="1">
        <v>25789</v>
      </c>
      <c r="W17" s="1">
        <v>26851</v>
      </c>
      <c r="X17" s="1">
        <v>29457</v>
      </c>
      <c r="Y17" s="1">
        <v>32343</v>
      </c>
      <c r="Z17" s="1">
        <v>32273</v>
      </c>
      <c r="AA17" s="1">
        <v>33341</v>
      </c>
      <c r="AB17" s="1">
        <v>32411</v>
      </c>
      <c r="AC17" s="1">
        <v>32585</v>
      </c>
      <c r="AD17" s="1">
        <v>32282</v>
      </c>
      <c r="AE17" s="1">
        <v>33002</v>
      </c>
      <c r="AF17" s="1">
        <v>32108</v>
      </c>
      <c r="AG17" s="1">
        <v>32232</v>
      </c>
      <c r="AH17" s="1">
        <v>31605</v>
      </c>
      <c r="AI17" s="130">
        <v>32550</v>
      </c>
      <c r="AJ17" s="130">
        <v>33755</v>
      </c>
      <c r="AK17" s="130">
        <v>35562</v>
      </c>
      <c r="AL17" s="130">
        <v>37171</v>
      </c>
      <c r="AM17" s="130">
        <v>35484</v>
      </c>
      <c r="AN17" s="130">
        <v>34913</v>
      </c>
      <c r="AO17" s="130">
        <v>34688</v>
      </c>
      <c r="AP17" s="130">
        <v>33890</v>
      </c>
      <c r="AQ17" s="130">
        <v>34355</v>
      </c>
      <c r="AR17" s="130">
        <v>34673</v>
      </c>
      <c r="AS17" s="130">
        <v>33989</v>
      </c>
    </row>
    <row r="18" spans="1:45" ht="12.75">
      <c r="A18" s="240" t="s">
        <v>36</v>
      </c>
      <c r="B18" s="240"/>
      <c r="C18" s="240"/>
      <c r="E18" s="93" t="s">
        <v>49</v>
      </c>
      <c r="F18" s="2">
        <v>13966</v>
      </c>
      <c r="G18" s="2">
        <v>14164</v>
      </c>
      <c r="H18" s="2">
        <v>13648</v>
      </c>
      <c r="I18" s="2">
        <v>12398</v>
      </c>
      <c r="J18" s="2">
        <v>12603</v>
      </c>
      <c r="K18" s="2">
        <v>13360</v>
      </c>
      <c r="L18" s="2">
        <v>14057</v>
      </c>
      <c r="M18" s="2">
        <v>12680</v>
      </c>
      <c r="N18" s="2">
        <v>12957</v>
      </c>
      <c r="O18" s="2">
        <v>12290</v>
      </c>
      <c r="P18" s="2">
        <v>11081</v>
      </c>
      <c r="Q18" s="2">
        <v>10050</v>
      </c>
      <c r="R18" s="2">
        <v>11006</v>
      </c>
      <c r="S18" s="2">
        <v>12607</v>
      </c>
      <c r="T18" s="2">
        <v>12016</v>
      </c>
      <c r="U18" s="2">
        <v>11130</v>
      </c>
      <c r="V18" s="2">
        <v>11654</v>
      </c>
      <c r="W18" s="2">
        <v>12593</v>
      </c>
      <c r="X18" s="2">
        <v>12926</v>
      </c>
      <c r="Y18" s="2">
        <v>11957</v>
      </c>
      <c r="Z18" s="2">
        <v>12631</v>
      </c>
      <c r="AA18" s="2">
        <v>14096</v>
      </c>
      <c r="AB18" s="2">
        <v>13899</v>
      </c>
      <c r="AC18" s="2">
        <v>12963</v>
      </c>
      <c r="AD18" s="2">
        <v>13984</v>
      </c>
      <c r="AE18" s="2">
        <v>13950</v>
      </c>
      <c r="AF18" s="2">
        <v>13477</v>
      </c>
      <c r="AG18" s="2">
        <v>12154</v>
      </c>
      <c r="AH18" s="2">
        <v>13621</v>
      </c>
      <c r="AI18" s="106">
        <v>14493</v>
      </c>
      <c r="AJ18" s="106">
        <v>15463</v>
      </c>
      <c r="AK18" s="106">
        <v>14324</v>
      </c>
      <c r="AL18" s="106">
        <v>15868</v>
      </c>
      <c r="AM18" s="106">
        <v>15297</v>
      </c>
      <c r="AN18" s="106">
        <v>15629</v>
      </c>
      <c r="AO18" s="106">
        <v>14179</v>
      </c>
      <c r="AP18" s="106">
        <v>15390</v>
      </c>
      <c r="AQ18" s="106">
        <v>16093</v>
      </c>
      <c r="AR18" s="106">
        <v>15279</v>
      </c>
      <c r="AS18" s="106">
        <v>13418</v>
      </c>
    </row>
    <row r="19" spans="1:45" ht="12.75">
      <c r="A19" s="240" t="s">
        <v>36</v>
      </c>
      <c r="B19" s="240"/>
      <c r="C19" s="240"/>
      <c r="E19" s="93" t="s">
        <v>50</v>
      </c>
      <c r="F19" s="2">
        <v>20949</v>
      </c>
      <c r="G19" s="2">
        <v>21152</v>
      </c>
      <c r="H19" s="2">
        <v>20856</v>
      </c>
      <c r="I19" s="2">
        <v>20379</v>
      </c>
      <c r="J19" s="2">
        <v>19210</v>
      </c>
      <c r="K19" s="2">
        <v>20162</v>
      </c>
      <c r="L19" s="2">
        <v>21631</v>
      </c>
      <c r="M19" s="2">
        <v>20734</v>
      </c>
      <c r="N19" s="2">
        <v>20534</v>
      </c>
      <c r="O19" s="2">
        <v>20932</v>
      </c>
      <c r="P19" s="2">
        <v>20754</v>
      </c>
      <c r="Q19" s="2">
        <v>20173</v>
      </c>
      <c r="R19" s="2">
        <v>20140</v>
      </c>
      <c r="S19" s="2">
        <v>20683</v>
      </c>
      <c r="T19" s="2">
        <v>19147</v>
      </c>
      <c r="U19" s="2">
        <v>19346</v>
      </c>
      <c r="V19" s="2">
        <v>17915</v>
      </c>
      <c r="W19" s="2">
        <v>17403</v>
      </c>
      <c r="X19" s="2">
        <v>18350</v>
      </c>
      <c r="Y19" s="2">
        <v>19226</v>
      </c>
      <c r="Z19" s="2">
        <v>18224</v>
      </c>
      <c r="AA19" s="2">
        <v>18177</v>
      </c>
      <c r="AB19" s="2">
        <v>17815</v>
      </c>
      <c r="AC19" s="2">
        <v>18288</v>
      </c>
      <c r="AD19" s="2">
        <v>17882</v>
      </c>
      <c r="AE19" s="2">
        <v>19222</v>
      </c>
      <c r="AF19" s="2">
        <v>18505</v>
      </c>
      <c r="AG19" s="2">
        <v>19441</v>
      </c>
      <c r="AH19" s="2">
        <v>18038</v>
      </c>
      <c r="AI19" s="106">
        <v>17427</v>
      </c>
      <c r="AJ19" s="106">
        <v>18529</v>
      </c>
      <c r="AK19" s="106">
        <v>20663</v>
      </c>
      <c r="AL19" s="106">
        <v>19236</v>
      </c>
      <c r="AM19" s="106">
        <v>18596</v>
      </c>
      <c r="AN19" s="106">
        <v>18382</v>
      </c>
      <c r="AO19" s="106">
        <v>17745</v>
      </c>
      <c r="AP19" s="106">
        <v>16890</v>
      </c>
      <c r="AQ19" s="106">
        <v>17632</v>
      </c>
      <c r="AR19" s="106">
        <v>18452</v>
      </c>
      <c r="AS19" s="106">
        <v>19408</v>
      </c>
    </row>
    <row r="20" spans="1:45" ht="12.75">
      <c r="A20" s="240" t="s">
        <v>36</v>
      </c>
      <c r="B20" s="240"/>
      <c r="C20" s="240"/>
      <c r="E20" s="93" t="s">
        <v>51</v>
      </c>
      <c r="F20" s="2">
        <v>530</v>
      </c>
      <c r="G20" s="2">
        <v>556</v>
      </c>
      <c r="H20" s="2">
        <v>416</v>
      </c>
      <c r="I20" s="2">
        <v>391</v>
      </c>
      <c r="J20" s="2">
        <v>577</v>
      </c>
      <c r="K20" s="2">
        <v>511</v>
      </c>
      <c r="L20" s="2">
        <v>418</v>
      </c>
      <c r="M20" s="2">
        <v>511</v>
      </c>
      <c r="N20" s="2">
        <v>525</v>
      </c>
      <c r="O20" s="2">
        <v>609</v>
      </c>
      <c r="P20" s="2">
        <v>515</v>
      </c>
      <c r="Q20" s="2">
        <v>1103</v>
      </c>
      <c r="R20" s="2">
        <v>521</v>
      </c>
      <c r="S20" s="2">
        <v>559</v>
      </c>
      <c r="T20" s="2">
        <v>443</v>
      </c>
      <c r="U20" s="2">
        <v>367</v>
      </c>
      <c r="V20" s="2">
        <v>372</v>
      </c>
      <c r="W20" s="2">
        <v>464</v>
      </c>
      <c r="X20" s="2">
        <v>444</v>
      </c>
      <c r="Y20" s="2">
        <v>666</v>
      </c>
      <c r="Z20" s="2">
        <v>508</v>
      </c>
      <c r="AA20" s="2">
        <v>498</v>
      </c>
      <c r="AB20" s="2">
        <v>486</v>
      </c>
      <c r="AC20" s="2">
        <v>609</v>
      </c>
      <c r="AD20" s="2">
        <v>766</v>
      </c>
      <c r="AE20" s="2">
        <v>610</v>
      </c>
      <c r="AF20" s="2">
        <v>606</v>
      </c>
      <c r="AG20" s="2">
        <v>746</v>
      </c>
      <c r="AH20" s="2">
        <v>787</v>
      </c>
      <c r="AI20" s="106">
        <v>787</v>
      </c>
      <c r="AJ20" s="106">
        <v>564</v>
      </c>
      <c r="AK20" s="106">
        <v>784</v>
      </c>
      <c r="AL20" s="106">
        <v>916</v>
      </c>
      <c r="AM20" s="106">
        <v>907</v>
      </c>
      <c r="AN20" s="106">
        <v>728</v>
      </c>
      <c r="AO20" s="106">
        <v>730</v>
      </c>
      <c r="AP20" s="106">
        <v>611</v>
      </c>
      <c r="AQ20" s="106">
        <v>757</v>
      </c>
      <c r="AR20" s="106">
        <v>629</v>
      </c>
      <c r="AS20" s="106">
        <v>701</v>
      </c>
    </row>
    <row r="21" spans="1:45" ht="12.75">
      <c r="A21" s="240" t="s">
        <v>36</v>
      </c>
      <c r="B21" s="240"/>
      <c r="C21" s="240"/>
      <c r="E21" s="93" t="s">
        <v>52</v>
      </c>
      <c r="F21" s="2">
        <v>267</v>
      </c>
      <c r="G21" s="2">
        <v>181</v>
      </c>
      <c r="H21" s="2">
        <v>382</v>
      </c>
      <c r="I21" s="2">
        <v>411</v>
      </c>
      <c r="J21" s="2">
        <v>416</v>
      </c>
      <c r="K21" s="2">
        <v>448</v>
      </c>
      <c r="L21" s="2">
        <v>605</v>
      </c>
      <c r="M21" s="2">
        <v>1425</v>
      </c>
      <c r="N21" s="2">
        <v>1072</v>
      </c>
      <c r="O21" s="2">
        <v>612</v>
      </c>
      <c r="P21" s="2">
        <v>741</v>
      </c>
      <c r="Q21" s="2">
        <v>377</v>
      </c>
      <c r="R21" s="2">
        <v>380</v>
      </c>
      <c r="S21" s="2">
        <v>455</v>
      </c>
      <c r="T21" s="2">
        <v>894</v>
      </c>
      <c r="U21" s="2">
        <v>386</v>
      </c>
      <c r="V21" s="2">
        <v>280</v>
      </c>
      <c r="W21" s="2">
        <v>225</v>
      </c>
      <c r="X21" s="2">
        <v>514</v>
      </c>
      <c r="Y21" s="2">
        <v>252</v>
      </c>
      <c r="Z21" s="2">
        <v>241</v>
      </c>
      <c r="AA21" s="2">
        <v>320</v>
      </c>
      <c r="AB21" s="2">
        <v>237</v>
      </c>
      <c r="AC21" s="2">
        <v>184</v>
      </c>
      <c r="AD21" s="2">
        <v>261</v>
      </c>
      <c r="AE21" s="2">
        <v>538</v>
      </c>
      <c r="AF21" s="2">
        <v>152</v>
      </c>
      <c r="AG21" s="2">
        <v>268</v>
      </c>
      <c r="AH21" s="2">
        <v>167</v>
      </c>
      <c r="AI21" s="106">
        <v>126</v>
      </c>
      <c r="AJ21" s="106">
        <v>298</v>
      </c>
      <c r="AK21" s="106">
        <v>375</v>
      </c>
      <c r="AL21" s="106">
        <v>365</v>
      </c>
      <c r="AM21" s="106">
        <v>179</v>
      </c>
      <c r="AN21" s="106">
        <v>329</v>
      </c>
      <c r="AO21" s="106">
        <v>149</v>
      </c>
      <c r="AP21" s="106">
        <v>143</v>
      </c>
      <c r="AQ21" s="106">
        <v>191</v>
      </c>
      <c r="AR21" s="106">
        <v>138</v>
      </c>
      <c r="AS21" s="106">
        <v>103</v>
      </c>
    </row>
    <row r="22" spans="1:45" ht="12.75">
      <c r="A22" s="240" t="s">
        <v>36</v>
      </c>
      <c r="B22" s="240"/>
      <c r="C22" s="240"/>
      <c r="E22" s="93" t="s">
        <v>53</v>
      </c>
      <c r="F22" s="2">
        <v>3133</v>
      </c>
      <c r="G22" s="2">
        <v>3100</v>
      </c>
      <c r="H22" s="2">
        <v>2814</v>
      </c>
      <c r="I22" s="2">
        <v>2992</v>
      </c>
      <c r="J22" s="2">
        <v>3004</v>
      </c>
      <c r="K22" s="2">
        <v>3304</v>
      </c>
      <c r="L22" s="2">
        <v>3265</v>
      </c>
      <c r="M22" s="2">
        <v>3460</v>
      </c>
      <c r="N22" s="2">
        <v>3355</v>
      </c>
      <c r="O22" s="2">
        <v>3554</v>
      </c>
      <c r="P22" s="2">
        <v>3125</v>
      </c>
      <c r="Q22" s="2">
        <v>2947</v>
      </c>
      <c r="R22" s="2">
        <v>2900</v>
      </c>
      <c r="S22" s="2">
        <v>3419</v>
      </c>
      <c r="T22" s="2">
        <v>3435</v>
      </c>
      <c r="U22" s="2">
        <v>3569</v>
      </c>
      <c r="V22" s="2">
        <v>3467</v>
      </c>
      <c r="W22" s="2">
        <v>4063</v>
      </c>
      <c r="X22" s="2">
        <v>4164</v>
      </c>
      <c r="Y22" s="2">
        <v>3662</v>
      </c>
      <c r="Z22" s="2">
        <v>3656</v>
      </c>
      <c r="AA22" s="2">
        <v>3664</v>
      </c>
      <c r="AB22" s="2">
        <v>3582</v>
      </c>
      <c r="AC22" s="2">
        <v>3607</v>
      </c>
      <c r="AD22" s="2">
        <v>3681</v>
      </c>
      <c r="AE22" s="2">
        <v>3952</v>
      </c>
      <c r="AF22" s="2">
        <v>4267</v>
      </c>
      <c r="AG22" s="2">
        <v>4405</v>
      </c>
      <c r="AH22" s="2">
        <v>4646</v>
      </c>
      <c r="AI22" s="106">
        <v>4604</v>
      </c>
      <c r="AJ22" s="106">
        <v>4824</v>
      </c>
      <c r="AK22" s="106">
        <v>4774</v>
      </c>
      <c r="AL22" s="106">
        <v>5130</v>
      </c>
      <c r="AM22" s="106">
        <v>5018</v>
      </c>
      <c r="AN22" s="106">
        <v>5007</v>
      </c>
      <c r="AO22" s="106">
        <v>5176</v>
      </c>
      <c r="AP22" s="106">
        <v>5026</v>
      </c>
      <c r="AQ22" s="106">
        <v>4781</v>
      </c>
      <c r="AR22" s="106">
        <v>4814</v>
      </c>
      <c r="AS22" s="106">
        <v>4568</v>
      </c>
    </row>
    <row r="23" spans="1:45" ht="12.75">
      <c r="A23" s="240" t="s">
        <v>36</v>
      </c>
      <c r="B23" s="240"/>
      <c r="C23" s="240"/>
      <c r="E23" s="93" t="s">
        <v>54</v>
      </c>
      <c r="F23" s="2">
        <v>532</v>
      </c>
      <c r="G23" s="2">
        <v>470</v>
      </c>
      <c r="H23" s="2">
        <v>323</v>
      </c>
      <c r="I23" s="2">
        <v>165</v>
      </c>
      <c r="J23" s="2">
        <v>38</v>
      </c>
      <c r="K23" s="2">
        <v>98</v>
      </c>
      <c r="L23" s="2">
        <v>429</v>
      </c>
      <c r="M23" s="2">
        <v>296</v>
      </c>
      <c r="N23" s="2">
        <v>1056</v>
      </c>
      <c r="O23" s="2">
        <v>1920</v>
      </c>
      <c r="P23" s="2">
        <v>2478</v>
      </c>
      <c r="Q23" s="2">
        <v>3030</v>
      </c>
      <c r="R23" s="2">
        <v>2178</v>
      </c>
      <c r="S23" s="2">
        <v>1968</v>
      </c>
      <c r="T23" s="2">
        <v>1881</v>
      </c>
      <c r="U23" s="2">
        <v>1722</v>
      </c>
      <c r="V23" s="2">
        <v>1373</v>
      </c>
      <c r="W23" s="2">
        <v>1401</v>
      </c>
      <c r="X23" s="2">
        <v>635</v>
      </c>
      <c r="Y23" s="2">
        <v>337</v>
      </c>
      <c r="Z23" s="2">
        <v>650</v>
      </c>
      <c r="AA23" s="2">
        <v>618</v>
      </c>
      <c r="AB23" s="2">
        <v>491</v>
      </c>
      <c r="AC23" s="2">
        <v>123</v>
      </c>
      <c r="AD23" s="2">
        <v>123</v>
      </c>
      <c r="AE23" s="2">
        <v>124</v>
      </c>
      <c r="AF23" s="2">
        <v>156</v>
      </c>
      <c r="AG23" s="2">
        <v>148</v>
      </c>
      <c r="AH23" s="2">
        <v>122</v>
      </c>
      <c r="AI23" s="106">
        <v>77</v>
      </c>
      <c r="AJ23" s="106">
        <v>99</v>
      </c>
      <c r="AK23" s="106">
        <v>99</v>
      </c>
      <c r="AL23" s="106">
        <v>78</v>
      </c>
      <c r="AM23" s="106">
        <v>78</v>
      </c>
      <c r="AN23" s="106">
        <v>108</v>
      </c>
      <c r="AO23" s="106">
        <v>108</v>
      </c>
      <c r="AP23" s="106">
        <v>11</v>
      </c>
      <c r="AQ23" s="106">
        <v>3</v>
      </c>
      <c r="AR23" s="106">
        <v>3</v>
      </c>
      <c r="AS23" s="106">
        <v>905</v>
      </c>
    </row>
    <row r="24" spans="1:45" ht="12.75">
      <c r="A24" s="240" t="s">
        <v>36</v>
      </c>
      <c r="B24" s="240"/>
      <c r="C24" s="240"/>
      <c r="E24" s="93" t="s">
        <v>55</v>
      </c>
      <c r="F24" s="2">
        <v>3460</v>
      </c>
      <c r="G24" s="2">
        <v>2720</v>
      </c>
      <c r="H24" s="2">
        <v>2905</v>
      </c>
      <c r="I24" s="2">
        <v>5546</v>
      </c>
      <c r="J24" s="2">
        <v>4501</v>
      </c>
      <c r="K24" s="2">
        <v>5558</v>
      </c>
      <c r="L24" s="2">
        <v>4937</v>
      </c>
      <c r="M24" s="2">
        <v>7305</v>
      </c>
      <c r="N24" s="2">
        <v>7714</v>
      </c>
      <c r="O24" s="2">
        <v>9964</v>
      </c>
      <c r="P24" s="2">
        <v>11579</v>
      </c>
      <c r="Q24" s="2">
        <v>9537</v>
      </c>
      <c r="R24" s="2">
        <v>9200</v>
      </c>
      <c r="S24" s="2">
        <v>9892</v>
      </c>
      <c r="T24" s="2">
        <v>9947</v>
      </c>
      <c r="U24" s="2">
        <v>10389</v>
      </c>
      <c r="V24" s="2">
        <v>8209</v>
      </c>
      <c r="W24" s="2">
        <v>9905</v>
      </c>
      <c r="X24" s="2">
        <v>10226</v>
      </c>
      <c r="Y24" s="2">
        <v>6966</v>
      </c>
      <c r="Z24" s="2">
        <v>8349</v>
      </c>
      <c r="AA24" s="2">
        <v>7985</v>
      </c>
      <c r="AB24" s="2">
        <v>6836</v>
      </c>
      <c r="AC24" s="2">
        <v>6835</v>
      </c>
      <c r="AD24" s="2">
        <v>7112</v>
      </c>
      <c r="AE24" s="2">
        <v>6427</v>
      </c>
      <c r="AF24" s="2">
        <v>4971</v>
      </c>
      <c r="AG24" s="2">
        <v>6607</v>
      </c>
      <c r="AH24" s="2">
        <v>5949</v>
      </c>
      <c r="AI24" s="106">
        <v>6522</v>
      </c>
      <c r="AJ24" s="106">
        <v>7616</v>
      </c>
      <c r="AK24" s="106">
        <v>9107</v>
      </c>
      <c r="AL24" s="106">
        <v>8109</v>
      </c>
      <c r="AM24" s="106">
        <v>8258</v>
      </c>
      <c r="AN24" s="106">
        <v>10414</v>
      </c>
      <c r="AO24" s="106">
        <v>10696</v>
      </c>
      <c r="AP24" s="106">
        <v>9486</v>
      </c>
      <c r="AQ24" s="106">
        <v>8538</v>
      </c>
      <c r="AR24" s="106">
        <v>11236</v>
      </c>
      <c r="AS24" s="106">
        <v>12756</v>
      </c>
    </row>
    <row r="25" spans="1:45" ht="12.75">
      <c r="A25" s="240" t="s">
        <v>37</v>
      </c>
      <c r="B25" s="240"/>
      <c r="C25" s="240"/>
      <c r="E25" s="119" t="s">
        <v>56</v>
      </c>
      <c r="F25" s="1">
        <v>42837</v>
      </c>
      <c r="G25" s="1">
        <v>42343</v>
      </c>
      <c r="H25" s="1">
        <v>41344</v>
      </c>
      <c r="I25" s="1">
        <v>42282</v>
      </c>
      <c r="J25" s="1">
        <v>40349</v>
      </c>
      <c r="K25" s="1">
        <v>43441</v>
      </c>
      <c r="L25" s="1">
        <v>45342</v>
      </c>
      <c r="M25" s="1">
        <v>46411</v>
      </c>
      <c r="N25" s="1">
        <v>47213</v>
      </c>
      <c r="O25" s="1">
        <v>49881</v>
      </c>
      <c r="P25" s="1">
        <v>50273</v>
      </c>
      <c r="Q25" s="1">
        <v>47217</v>
      </c>
      <c r="R25" s="1">
        <v>46325</v>
      </c>
      <c r="S25" s="1">
        <v>49583</v>
      </c>
      <c r="T25" s="1">
        <v>47763</v>
      </c>
      <c r="U25" s="1">
        <v>46909</v>
      </c>
      <c r="V25" s="1">
        <v>43270</v>
      </c>
      <c r="W25" s="1">
        <v>46054</v>
      </c>
      <c r="X25" s="1">
        <v>47796</v>
      </c>
      <c r="Y25" s="14">
        <v>43066</v>
      </c>
      <c r="Z25" s="14">
        <v>44259</v>
      </c>
      <c r="AA25" s="14">
        <v>45358</v>
      </c>
      <c r="AB25" s="14">
        <v>43346</v>
      </c>
      <c r="AC25" s="14">
        <v>42609</v>
      </c>
      <c r="AD25" s="14">
        <v>43809</v>
      </c>
      <c r="AE25" s="14">
        <v>44823</v>
      </c>
      <c r="AF25" s="14">
        <v>42134</v>
      </c>
      <c r="AG25" s="14">
        <v>43769</v>
      </c>
      <c r="AH25" s="14">
        <v>43330</v>
      </c>
      <c r="AI25" s="130">
        <v>44036</v>
      </c>
      <c r="AJ25" s="130">
        <v>47393</v>
      </c>
      <c r="AK25" s="130">
        <v>50126</v>
      </c>
      <c r="AL25" s="130">
        <v>49702</v>
      </c>
      <c r="AM25" s="130">
        <v>48333</v>
      </c>
      <c r="AN25" s="130">
        <v>50597</v>
      </c>
      <c r="AO25" s="130">
        <v>48783</v>
      </c>
      <c r="AP25" s="130">
        <v>47557</v>
      </c>
      <c r="AQ25" s="130">
        <v>47995</v>
      </c>
      <c r="AR25" s="130">
        <v>50551</v>
      </c>
      <c r="AS25" s="130">
        <v>51859</v>
      </c>
    </row>
    <row r="26" spans="1:45" ht="12.75">
      <c r="A26" s="240" t="s">
        <v>37</v>
      </c>
      <c r="B26" s="240"/>
      <c r="C26" s="240"/>
      <c r="E26" s="119" t="s">
        <v>57</v>
      </c>
      <c r="F26" s="1">
        <v>65836</v>
      </c>
      <c r="G26" s="1">
        <v>65563</v>
      </c>
      <c r="H26" s="1">
        <v>64516</v>
      </c>
      <c r="I26" s="1">
        <v>66089</v>
      </c>
      <c r="J26" s="1">
        <v>62908</v>
      </c>
      <c r="K26" s="1">
        <v>66770</v>
      </c>
      <c r="L26" s="1">
        <v>70291</v>
      </c>
      <c r="M26" s="1">
        <v>73323</v>
      </c>
      <c r="N26" s="1">
        <v>74395</v>
      </c>
      <c r="O26" s="1">
        <v>76534</v>
      </c>
      <c r="P26" s="1">
        <v>75320</v>
      </c>
      <c r="Q26" s="1">
        <v>72696</v>
      </c>
      <c r="R26" s="1">
        <v>71311</v>
      </c>
      <c r="S26" s="1">
        <v>75204</v>
      </c>
      <c r="T26" s="1">
        <v>72012</v>
      </c>
      <c r="U26" s="1">
        <v>73521</v>
      </c>
      <c r="V26" s="1">
        <v>69059</v>
      </c>
      <c r="W26" s="1">
        <v>72905</v>
      </c>
      <c r="X26" s="1">
        <v>77253</v>
      </c>
      <c r="Y26" s="1">
        <v>75409</v>
      </c>
      <c r="Z26" s="1">
        <v>76532</v>
      </c>
      <c r="AA26" s="1">
        <v>78699</v>
      </c>
      <c r="AB26" s="1">
        <v>75757</v>
      </c>
      <c r="AC26" s="1">
        <v>75194</v>
      </c>
      <c r="AD26" s="1">
        <v>76091</v>
      </c>
      <c r="AE26" s="1">
        <v>77825</v>
      </c>
      <c r="AF26" s="1">
        <v>74242</v>
      </c>
      <c r="AG26" s="1">
        <v>76001</v>
      </c>
      <c r="AH26" s="1">
        <v>74935</v>
      </c>
      <c r="AI26" s="130">
        <v>76586</v>
      </c>
      <c r="AJ26" s="130">
        <v>81148</v>
      </c>
      <c r="AK26" s="130">
        <v>85688</v>
      </c>
      <c r="AL26" s="130">
        <v>86873</v>
      </c>
      <c r="AM26" s="130">
        <v>83817</v>
      </c>
      <c r="AN26" s="130">
        <v>85510</v>
      </c>
      <c r="AO26" s="130">
        <v>83471</v>
      </c>
      <c r="AP26" s="130">
        <v>81447</v>
      </c>
      <c r="AQ26" s="130">
        <v>82350</v>
      </c>
      <c r="AR26" s="130">
        <v>85224</v>
      </c>
      <c r="AS26" s="130">
        <v>85848</v>
      </c>
    </row>
    <row r="27" spans="1:45" ht="12.75">
      <c r="A27" s="240" t="s">
        <v>38</v>
      </c>
      <c r="B27" s="240"/>
      <c r="C27" s="240"/>
      <c r="E27" s="9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106"/>
      <c r="AJ27" s="106"/>
      <c r="AK27" s="106"/>
      <c r="AL27" s="106"/>
      <c r="AM27" s="106"/>
      <c r="AN27" s="106"/>
      <c r="AO27" s="106"/>
      <c r="AP27" s="106"/>
      <c r="AQ27" s="106"/>
      <c r="AR27" s="106"/>
      <c r="AS27" s="106"/>
    </row>
    <row r="28" spans="1:45" ht="12.75">
      <c r="A28" s="240" t="s">
        <v>35</v>
      </c>
      <c r="B28" s="240"/>
      <c r="C28" s="240"/>
      <c r="E28" s="119" t="s">
        <v>58</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06"/>
      <c r="AJ28" s="106"/>
      <c r="AK28" s="106"/>
      <c r="AL28" s="106"/>
      <c r="AM28" s="106"/>
      <c r="AN28" s="106"/>
      <c r="AO28" s="106"/>
      <c r="AP28" s="106"/>
      <c r="AQ28" s="106"/>
      <c r="AR28" s="106"/>
      <c r="AS28" s="106"/>
    </row>
    <row r="29" spans="1:45" ht="26.25">
      <c r="A29" s="240" t="s">
        <v>35</v>
      </c>
      <c r="B29" s="240"/>
      <c r="C29" s="240"/>
      <c r="E29" s="123" t="s">
        <v>59</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106"/>
      <c r="AJ29" s="106"/>
      <c r="AK29" s="106"/>
      <c r="AL29" s="106"/>
      <c r="AM29" s="106"/>
      <c r="AN29" s="106"/>
      <c r="AO29" s="106"/>
      <c r="AP29" s="106"/>
      <c r="AQ29" s="106"/>
      <c r="AR29" s="106"/>
      <c r="AS29" s="106"/>
    </row>
    <row r="30" spans="1:45" ht="12.75">
      <c r="A30" s="240" t="s">
        <v>36</v>
      </c>
      <c r="B30" s="240"/>
      <c r="C30" s="240"/>
      <c r="E30" s="139" t="s">
        <v>60</v>
      </c>
      <c r="F30" s="2">
        <v>1545</v>
      </c>
      <c r="G30" s="2">
        <v>1545</v>
      </c>
      <c r="H30" s="2">
        <v>1545</v>
      </c>
      <c r="I30" s="2">
        <v>1545</v>
      </c>
      <c r="J30" s="2">
        <v>1545</v>
      </c>
      <c r="K30" s="2">
        <v>1545</v>
      </c>
      <c r="L30" s="2">
        <v>1545</v>
      </c>
      <c r="M30" s="2">
        <v>1545</v>
      </c>
      <c r="N30" s="2">
        <v>1545</v>
      </c>
      <c r="O30" s="2">
        <v>1545</v>
      </c>
      <c r="P30" s="2">
        <v>1545</v>
      </c>
      <c r="Q30" s="2">
        <v>1545</v>
      </c>
      <c r="R30" s="2">
        <v>1545</v>
      </c>
      <c r="S30" s="2">
        <v>1545</v>
      </c>
      <c r="T30" s="2">
        <v>1545</v>
      </c>
      <c r="U30" s="2">
        <v>1545</v>
      </c>
      <c r="V30" s="2">
        <v>1545</v>
      </c>
      <c r="W30" s="2">
        <v>1545</v>
      </c>
      <c r="X30" s="2">
        <v>1545</v>
      </c>
      <c r="Y30" s="2">
        <v>1545</v>
      </c>
      <c r="Z30" s="2">
        <v>1545</v>
      </c>
      <c r="AA30" s="2">
        <v>1545</v>
      </c>
      <c r="AB30" s="2">
        <v>1545</v>
      </c>
      <c r="AC30" s="2">
        <v>1545</v>
      </c>
      <c r="AD30" s="2">
        <v>1545</v>
      </c>
      <c r="AE30" s="2">
        <v>1545</v>
      </c>
      <c r="AF30" s="2">
        <v>1545</v>
      </c>
      <c r="AG30" s="2">
        <v>1545</v>
      </c>
      <c r="AH30" s="2">
        <v>1545</v>
      </c>
      <c r="AI30" s="106">
        <v>1545</v>
      </c>
      <c r="AJ30" s="106">
        <v>1545</v>
      </c>
      <c r="AK30" s="106">
        <v>1545</v>
      </c>
      <c r="AL30" s="106">
        <v>1545</v>
      </c>
      <c r="AM30" s="106">
        <v>1545</v>
      </c>
      <c r="AN30" s="106">
        <v>1545</v>
      </c>
      <c r="AO30" s="106">
        <v>1545</v>
      </c>
      <c r="AP30" s="106">
        <v>1545</v>
      </c>
      <c r="AQ30" s="106">
        <v>1545</v>
      </c>
      <c r="AR30" s="106">
        <v>1545</v>
      </c>
      <c r="AS30" s="106">
        <v>1545</v>
      </c>
    </row>
    <row r="31" spans="1:45" ht="12.75">
      <c r="A31" s="240" t="s">
        <v>36</v>
      </c>
      <c r="B31" s="240"/>
      <c r="C31" s="240"/>
      <c r="E31" s="139" t="s">
        <v>61</v>
      </c>
      <c r="F31" s="2">
        <v>2905</v>
      </c>
      <c r="G31" s="2">
        <v>2905</v>
      </c>
      <c r="H31" s="2">
        <v>2905</v>
      </c>
      <c r="I31" s="2">
        <v>2905</v>
      </c>
      <c r="J31" s="2">
        <v>2905</v>
      </c>
      <c r="K31" s="2">
        <v>2905</v>
      </c>
      <c r="L31" s="2">
        <v>2905</v>
      </c>
      <c r="M31" s="2">
        <v>2905</v>
      </c>
      <c r="N31" s="2">
        <v>2905</v>
      </c>
      <c r="O31" s="2">
        <v>2905</v>
      </c>
      <c r="P31" s="2">
        <v>2905</v>
      </c>
      <c r="Q31" s="2">
        <v>2905</v>
      </c>
      <c r="R31" s="2">
        <v>2905</v>
      </c>
      <c r="S31" s="2">
        <v>2905</v>
      </c>
      <c r="T31" s="2">
        <v>2905</v>
      </c>
      <c r="U31" s="2">
        <v>2905</v>
      </c>
      <c r="V31" s="2">
        <v>2905</v>
      </c>
      <c r="W31" s="2">
        <v>2905</v>
      </c>
      <c r="X31" s="2">
        <v>2905</v>
      </c>
      <c r="Y31" s="2">
        <v>2905</v>
      </c>
      <c r="Z31" s="2">
        <v>2905</v>
      </c>
      <c r="AA31" s="2">
        <v>2905</v>
      </c>
      <c r="AB31" s="2">
        <v>2905</v>
      </c>
      <c r="AC31" s="2">
        <v>2905</v>
      </c>
      <c r="AD31" s="2">
        <v>2905</v>
      </c>
      <c r="AE31" s="2">
        <v>2905</v>
      </c>
      <c r="AF31" s="2">
        <v>2905</v>
      </c>
      <c r="AG31" s="2">
        <v>2905</v>
      </c>
      <c r="AH31" s="2">
        <v>2905</v>
      </c>
      <c r="AI31" s="106">
        <v>2905</v>
      </c>
      <c r="AJ31" s="106">
        <v>2905</v>
      </c>
      <c r="AK31" s="106">
        <v>2905</v>
      </c>
      <c r="AL31" s="106">
        <v>2905</v>
      </c>
      <c r="AM31" s="106">
        <v>2905</v>
      </c>
      <c r="AN31" s="106">
        <v>2905</v>
      </c>
      <c r="AO31" s="106">
        <v>2905</v>
      </c>
      <c r="AP31" s="106">
        <v>2905</v>
      </c>
      <c r="AQ31" s="106">
        <v>2905</v>
      </c>
      <c r="AR31" s="106">
        <v>2905</v>
      </c>
      <c r="AS31" s="106">
        <v>2905</v>
      </c>
    </row>
    <row r="32" spans="1:45" ht="12.75">
      <c r="A32" s="240" t="s">
        <v>36</v>
      </c>
      <c r="B32" s="240"/>
      <c r="C32" s="240"/>
      <c r="E32" s="139" t="s">
        <v>62</v>
      </c>
      <c r="F32" s="2">
        <v>747</v>
      </c>
      <c r="G32" s="2">
        <v>704</v>
      </c>
      <c r="H32" s="2">
        <v>288</v>
      </c>
      <c r="I32" s="2">
        <v>844</v>
      </c>
      <c r="J32" s="2">
        <v>-275</v>
      </c>
      <c r="K32" s="2">
        <v>384</v>
      </c>
      <c r="L32" s="2">
        <v>1187</v>
      </c>
      <c r="M32" s="2">
        <v>2052</v>
      </c>
      <c r="N32" s="2">
        <v>2278</v>
      </c>
      <c r="O32" s="2">
        <v>2543</v>
      </c>
      <c r="P32" s="2">
        <v>1134</v>
      </c>
      <c r="Q32" s="2">
        <v>1814</v>
      </c>
      <c r="R32" s="2">
        <v>1465</v>
      </c>
      <c r="S32" s="2">
        <v>1829</v>
      </c>
      <c r="T32" s="2">
        <v>453</v>
      </c>
      <c r="U32" s="2">
        <v>636</v>
      </c>
      <c r="V32" s="2">
        <v>-258</v>
      </c>
      <c r="W32" s="2">
        <v>319</v>
      </c>
      <c r="X32" s="2">
        <v>538</v>
      </c>
      <c r="Y32" s="2">
        <v>324</v>
      </c>
      <c r="Z32" s="2">
        <v>-138</v>
      </c>
      <c r="AA32" s="2">
        <v>377</v>
      </c>
      <c r="AB32" s="2">
        <v>-1140</v>
      </c>
      <c r="AC32" s="2">
        <v>-1146</v>
      </c>
      <c r="AD32" s="2">
        <v>-1498</v>
      </c>
      <c r="AE32" s="2">
        <v>-1371</v>
      </c>
      <c r="AF32" s="2">
        <v>-2635</v>
      </c>
      <c r="AG32" s="2">
        <v>-2658</v>
      </c>
      <c r="AH32" s="2">
        <v>-2929</v>
      </c>
      <c r="AI32" s="106">
        <v>-1978</v>
      </c>
      <c r="AJ32" s="106">
        <v>-1072</v>
      </c>
      <c r="AK32" s="106">
        <v>-251</v>
      </c>
      <c r="AL32" s="106">
        <v>898</v>
      </c>
      <c r="AM32" s="106">
        <v>-305</v>
      </c>
      <c r="AN32" s="106">
        <v>-1072</v>
      </c>
      <c r="AO32" s="106">
        <v>-1739</v>
      </c>
      <c r="AP32" s="106">
        <v>-2462</v>
      </c>
      <c r="AQ32" s="106">
        <v>-1459</v>
      </c>
      <c r="AR32" s="106">
        <v>-1010</v>
      </c>
      <c r="AS32" s="106">
        <v>-1471</v>
      </c>
    </row>
    <row r="33" spans="1:45" ht="12.75">
      <c r="A33" s="240" t="s">
        <v>36</v>
      </c>
      <c r="B33" s="240"/>
      <c r="C33" s="240"/>
      <c r="E33" s="139" t="s">
        <v>63</v>
      </c>
      <c r="F33" s="2">
        <v>9372</v>
      </c>
      <c r="G33" s="2">
        <v>8818</v>
      </c>
      <c r="H33" s="2">
        <v>9620</v>
      </c>
      <c r="I33" s="2">
        <v>10745</v>
      </c>
      <c r="J33" s="2">
        <v>10650</v>
      </c>
      <c r="K33" s="2">
        <v>9522</v>
      </c>
      <c r="L33" s="2">
        <v>10364</v>
      </c>
      <c r="M33" s="2">
        <v>9883</v>
      </c>
      <c r="N33" s="2">
        <v>9537</v>
      </c>
      <c r="O33" s="2">
        <v>10245</v>
      </c>
      <c r="P33" s="2">
        <v>11896</v>
      </c>
      <c r="Q33" s="2">
        <v>12577</v>
      </c>
      <c r="R33" s="2">
        <v>12360</v>
      </c>
      <c r="S33" s="2">
        <v>13429</v>
      </c>
      <c r="T33" s="2">
        <v>14827</v>
      </c>
      <c r="U33" s="2">
        <v>15527</v>
      </c>
      <c r="V33" s="2">
        <v>14153</v>
      </c>
      <c r="W33" s="2">
        <v>14704</v>
      </c>
      <c r="X33" s="2">
        <v>15538</v>
      </c>
      <c r="Y33" s="2">
        <v>12763</v>
      </c>
      <c r="Z33" s="2">
        <v>12252</v>
      </c>
      <c r="AA33" s="2">
        <v>12138</v>
      </c>
      <c r="AB33" s="2">
        <v>12787</v>
      </c>
      <c r="AC33" s="2">
        <v>12381</v>
      </c>
      <c r="AD33" s="2">
        <v>11437</v>
      </c>
      <c r="AE33" s="2">
        <v>12785</v>
      </c>
      <c r="AF33" s="2">
        <v>13429</v>
      </c>
      <c r="AG33" s="2">
        <v>12482</v>
      </c>
      <c r="AH33" s="2">
        <v>10829</v>
      </c>
      <c r="AI33" s="106">
        <v>10639</v>
      </c>
      <c r="AJ33" s="106">
        <v>11896</v>
      </c>
      <c r="AK33" s="106">
        <v>12235</v>
      </c>
      <c r="AL33" s="106">
        <v>10117</v>
      </c>
      <c r="AM33" s="106">
        <v>11899</v>
      </c>
      <c r="AN33" s="106">
        <v>12467</v>
      </c>
      <c r="AO33" s="106">
        <v>12264</v>
      </c>
      <c r="AP33" s="106">
        <v>11952</v>
      </c>
      <c r="AQ33" s="106">
        <v>10901</v>
      </c>
      <c r="AR33" s="106">
        <v>12274</v>
      </c>
      <c r="AS33" s="106">
        <v>14729</v>
      </c>
    </row>
    <row r="34" spans="1:45" ht="26.25">
      <c r="A34" s="240" t="s">
        <v>37</v>
      </c>
      <c r="B34" s="240"/>
      <c r="C34" s="240"/>
      <c r="E34" s="214" t="s">
        <v>59</v>
      </c>
      <c r="F34" s="1">
        <v>14569</v>
      </c>
      <c r="G34" s="1">
        <v>13972</v>
      </c>
      <c r="H34" s="1">
        <v>14358</v>
      </c>
      <c r="I34" s="1">
        <v>16039</v>
      </c>
      <c r="J34" s="1">
        <v>14825</v>
      </c>
      <c r="K34" s="1">
        <v>14356</v>
      </c>
      <c r="L34" s="1">
        <v>16001</v>
      </c>
      <c r="M34" s="1">
        <v>16385</v>
      </c>
      <c r="N34" s="1">
        <v>16265</v>
      </c>
      <c r="O34" s="1">
        <v>17238</v>
      </c>
      <c r="P34" s="1">
        <v>17480</v>
      </c>
      <c r="Q34" s="1">
        <v>18841</v>
      </c>
      <c r="R34" s="1">
        <v>18275</v>
      </c>
      <c r="S34" s="1">
        <v>19708</v>
      </c>
      <c r="T34" s="1">
        <v>19730</v>
      </c>
      <c r="U34" s="1">
        <v>20613</v>
      </c>
      <c r="V34" s="1">
        <v>18345</v>
      </c>
      <c r="W34" s="1">
        <v>19473</v>
      </c>
      <c r="X34" s="1">
        <v>20526</v>
      </c>
      <c r="Y34" s="1">
        <v>17537</v>
      </c>
      <c r="Z34" s="1">
        <v>16564</v>
      </c>
      <c r="AA34" s="1">
        <v>16965</v>
      </c>
      <c r="AB34" s="1">
        <v>16097</v>
      </c>
      <c r="AC34" s="1">
        <v>15685</v>
      </c>
      <c r="AD34" s="1">
        <v>14389</v>
      </c>
      <c r="AE34" s="1">
        <v>15864</v>
      </c>
      <c r="AF34" s="1">
        <v>15244</v>
      </c>
      <c r="AG34" s="1">
        <v>14274</v>
      </c>
      <c r="AH34" s="1">
        <v>12350</v>
      </c>
      <c r="AI34" s="130">
        <v>13111</v>
      </c>
      <c r="AJ34" s="130">
        <v>15274</v>
      </c>
      <c r="AK34" s="130">
        <v>16434</v>
      </c>
      <c r="AL34" s="130">
        <v>15465</v>
      </c>
      <c r="AM34" s="130">
        <v>16044</v>
      </c>
      <c r="AN34" s="130">
        <v>15845</v>
      </c>
      <c r="AO34" s="130">
        <v>14975</v>
      </c>
      <c r="AP34" s="130">
        <v>13940</v>
      </c>
      <c r="AQ34" s="130">
        <v>13892</v>
      </c>
      <c r="AR34" s="130">
        <v>15714</v>
      </c>
      <c r="AS34" s="130">
        <v>17708</v>
      </c>
    </row>
    <row r="35" spans="1:45" ht="12.75">
      <c r="A35" s="240" t="s">
        <v>36</v>
      </c>
      <c r="B35" s="240"/>
      <c r="C35" s="240"/>
      <c r="E35" s="49" t="s">
        <v>474</v>
      </c>
      <c r="F35" s="2">
        <v>1</v>
      </c>
      <c r="G35" s="2">
        <v>1</v>
      </c>
      <c r="H35" s="2">
        <v>1</v>
      </c>
      <c r="I35" s="2">
        <v>1</v>
      </c>
      <c r="J35" s="2">
        <v>1</v>
      </c>
      <c r="K35" s="2">
        <v>1</v>
      </c>
      <c r="L35" s="2">
        <v>1</v>
      </c>
      <c r="M35" s="2">
        <v>0</v>
      </c>
      <c r="N35" s="2">
        <v>0</v>
      </c>
      <c r="O35" s="2">
        <v>0</v>
      </c>
      <c r="P35" s="2">
        <v>0</v>
      </c>
      <c r="Q35" s="2">
        <v>0</v>
      </c>
      <c r="R35" s="2">
        <v>0</v>
      </c>
      <c r="S35" s="2">
        <v>0</v>
      </c>
      <c r="T35" s="2">
        <v>0</v>
      </c>
      <c r="U35" s="2">
        <v>0</v>
      </c>
      <c r="V35" s="2">
        <v>0</v>
      </c>
      <c r="W35" s="2">
        <v>0</v>
      </c>
      <c r="X35" s="2">
        <v>76</v>
      </c>
      <c r="Y35" s="2">
        <v>109</v>
      </c>
      <c r="Z35" s="2">
        <v>85</v>
      </c>
      <c r="AA35" s="2">
        <v>90</v>
      </c>
      <c r="AB35" s="2">
        <v>33</v>
      </c>
      <c r="AC35" s="2">
        <v>41</v>
      </c>
      <c r="AD35" s="2">
        <v>40</v>
      </c>
      <c r="AE35" s="2">
        <v>38</v>
      </c>
      <c r="AF35" s="2">
        <v>35</v>
      </c>
      <c r="AG35" s="2">
        <v>34</v>
      </c>
      <c r="AH35" s="2">
        <v>30</v>
      </c>
      <c r="AI35" s="106">
        <v>31</v>
      </c>
      <c r="AJ35" s="106">
        <v>31</v>
      </c>
      <c r="AK35" s="106">
        <v>34</v>
      </c>
      <c r="AL35" s="106">
        <v>36</v>
      </c>
      <c r="AM35" s="106">
        <v>34</v>
      </c>
      <c r="AN35" s="106">
        <v>32</v>
      </c>
      <c r="AO35" s="106">
        <v>30</v>
      </c>
      <c r="AP35" s="106">
        <v>29</v>
      </c>
      <c r="AQ35" s="106">
        <v>30</v>
      </c>
      <c r="AR35" s="106">
        <v>30</v>
      </c>
      <c r="AS35" s="106">
        <v>30</v>
      </c>
    </row>
    <row r="36" spans="1:45" ht="12.75">
      <c r="A36" s="240" t="s">
        <v>37</v>
      </c>
      <c r="B36" s="240"/>
      <c r="C36" s="240"/>
      <c r="E36" s="119" t="s">
        <v>64</v>
      </c>
      <c r="F36" s="1">
        <v>14570</v>
      </c>
      <c r="G36" s="1">
        <v>13973</v>
      </c>
      <c r="H36" s="1">
        <v>14359</v>
      </c>
      <c r="I36" s="1">
        <v>16040</v>
      </c>
      <c r="J36" s="1">
        <v>14826</v>
      </c>
      <c r="K36" s="1">
        <v>14357</v>
      </c>
      <c r="L36" s="1">
        <v>16002</v>
      </c>
      <c r="M36" s="1">
        <v>16385</v>
      </c>
      <c r="N36" s="1">
        <v>16265</v>
      </c>
      <c r="O36" s="1">
        <v>17238</v>
      </c>
      <c r="P36" s="1">
        <v>17480</v>
      </c>
      <c r="Q36" s="1">
        <v>18841</v>
      </c>
      <c r="R36" s="1">
        <v>18275</v>
      </c>
      <c r="S36" s="1">
        <v>19708</v>
      </c>
      <c r="T36" s="1">
        <v>19730</v>
      </c>
      <c r="U36" s="1">
        <v>20613</v>
      </c>
      <c r="V36" s="1">
        <v>18345</v>
      </c>
      <c r="W36" s="1">
        <v>19473</v>
      </c>
      <c r="X36" s="1">
        <v>20602</v>
      </c>
      <c r="Y36" s="1">
        <v>17646</v>
      </c>
      <c r="Z36" s="1">
        <v>16649</v>
      </c>
      <c r="AA36" s="1">
        <v>17055</v>
      </c>
      <c r="AB36" s="1">
        <v>16130</v>
      </c>
      <c r="AC36" s="1">
        <v>15726</v>
      </c>
      <c r="AD36" s="1">
        <v>14429</v>
      </c>
      <c r="AE36" s="1">
        <v>15902</v>
      </c>
      <c r="AF36" s="1">
        <v>15279</v>
      </c>
      <c r="AG36" s="1">
        <v>14308</v>
      </c>
      <c r="AH36" s="1">
        <v>12380</v>
      </c>
      <c r="AI36" s="130">
        <v>13142</v>
      </c>
      <c r="AJ36" s="130">
        <v>15305</v>
      </c>
      <c r="AK36" s="130">
        <v>16468</v>
      </c>
      <c r="AL36" s="130">
        <v>15501</v>
      </c>
      <c r="AM36" s="130">
        <v>16078</v>
      </c>
      <c r="AN36" s="130">
        <v>15877</v>
      </c>
      <c r="AO36" s="130">
        <v>15005</v>
      </c>
      <c r="AP36" s="130">
        <v>13969</v>
      </c>
      <c r="AQ36" s="130">
        <v>13922</v>
      </c>
      <c r="AR36" s="130">
        <v>15744</v>
      </c>
      <c r="AS36" s="130">
        <v>17738</v>
      </c>
    </row>
    <row r="37" spans="1:45" ht="12.75">
      <c r="A37" s="240" t="s">
        <v>36</v>
      </c>
      <c r="B37" s="240"/>
      <c r="C37" s="240"/>
      <c r="E37" s="93" t="s">
        <v>65</v>
      </c>
      <c r="F37" s="2">
        <v>3809</v>
      </c>
      <c r="G37" s="2">
        <v>3732</v>
      </c>
      <c r="H37" s="2">
        <v>3717</v>
      </c>
      <c r="I37" s="2">
        <v>4887</v>
      </c>
      <c r="J37" s="2">
        <v>5410</v>
      </c>
      <c r="K37" s="2">
        <v>8543</v>
      </c>
      <c r="L37" s="2">
        <v>9049</v>
      </c>
      <c r="M37" s="2">
        <v>9963</v>
      </c>
      <c r="N37" s="2">
        <v>11089</v>
      </c>
      <c r="O37" s="2">
        <v>10702</v>
      </c>
      <c r="P37" s="2">
        <v>10323</v>
      </c>
      <c r="Q37" s="2">
        <v>10241</v>
      </c>
      <c r="R37" s="2">
        <v>9530</v>
      </c>
      <c r="S37" s="2">
        <v>9304</v>
      </c>
      <c r="T37" s="2">
        <v>9119</v>
      </c>
      <c r="U37" s="2">
        <v>8413</v>
      </c>
      <c r="V37" s="2">
        <v>8246</v>
      </c>
      <c r="W37" s="2">
        <v>10869</v>
      </c>
      <c r="X37" s="2">
        <v>11826</v>
      </c>
      <c r="Y37" s="2">
        <v>9639</v>
      </c>
      <c r="Z37" s="2">
        <v>10604</v>
      </c>
      <c r="AA37" s="2">
        <v>10623</v>
      </c>
      <c r="AB37" s="2">
        <v>9158</v>
      </c>
      <c r="AC37" s="2">
        <v>10005</v>
      </c>
      <c r="AD37" s="2">
        <v>11059</v>
      </c>
      <c r="AE37" s="2">
        <v>11908</v>
      </c>
      <c r="AF37" s="2">
        <v>11859</v>
      </c>
      <c r="AG37" s="2">
        <v>11935</v>
      </c>
      <c r="AH37" s="2">
        <v>11946</v>
      </c>
      <c r="AI37" s="106">
        <v>10180</v>
      </c>
      <c r="AJ37" s="106">
        <v>9524</v>
      </c>
      <c r="AK37" s="106">
        <v>9529</v>
      </c>
      <c r="AL37" s="106">
        <v>9580</v>
      </c>
      <c r="AM37" s="106">
        <v>8256</v>
      </c>
      <c r="AN37" s="106">
        <v>8471</v>
      </c>
      <c r="AO37" s="106">
        <v>8323</v>
      </c>
      <c r="AP37" s="106">
        <v>8261</v>
      </c>
      <c r="AQ37" s="106">
        <v>8407</v>
      </c>
      <c r="AR37" s="106">
        <v>8444</v>
      </c>
      <c r="AS37" s="106">
        <v>7952</v>
      </c>
    </row>
    <row r="38" spans="1:45" ht="12.75">
      <c r="A38" s="240" t="s">
        <v>36</v>
      </c>
      <c r="B38" s="240"/>
      <c r="C38" s="240"/>
      <c r="E38" s="93" t="s">
        <v>66</v>
      </c>
      <c r="F38" s="2">
        <v>1229</v>
      </c>
      <c r="G38" s="2">
        <v>1225</v>
      </c>
      <c r="H38" s="2">
        <v>1180</v>
      </c>
      <c r="I38" s="2">
        <v>935</v>
      </c>
      <c r="J38" s="2">
        <v>890</v>
      </c>
      <c r="K38" s="2">
        <v>882</v>
      </c>
      <c r="L38" s="2">
        <v>879</v>
      </c>
      <c r="M38" s="2">
        <v>840</v>
      </c>
      <c r="N38" s="2">
        <v>848</v>
      </c>
      <c r="O38" s="2">
        <v>596</v>
      </c>
      <c r="P38" s="2">
        <v>563</v>
      </c>
      <c r="Q38" s="2">
        <v>819</v>
      </c>
      <c r="R38" s="2">
        <v>804</v>
      </c>
      <c r="S38" s="2">
        <v>745</v>
      </c>
      <c r="T38" s="2">
        <v>808</v>
      </c>
      <c r="U38" s="2">
        <v>806</v>
      </c>
      <c r="V38" s="2">
        <v>806</v>
      </c>
      <c r="W38" s="2">
        <v>885</v>
      </c>
      <c r="X38" s="2">
        <v>956</v>
      </c>
      <c r="Y38" s="2">
        <v>1076</v>
      </c>
      <c r="Z38" s="2">
        <v>1088</v>
      </c>
      <c r="AA38" s="2">
        <v>1087</v>
      </c>
      <c r="AB38" s="2">
        <v>1089</v>
      </c>
      <c r="AC38" s="2">
        <v>1117</v>
      </c>
      <c r="AD38" s="2">
        <v>1139</v>
      </c>
      <c r="AE38" s="2">
        <v>1123</v>
      </c>
      <c r="AF38" s="2">
        <v>1079</v>
      </c>
      <c r="AG38" s="2">
        <v>1026</v>
      </c>
      <c r="AH38" s="2">
        <v>692</v>
      </c>
      <c r="AI38" s="106">
        <v>782</v>
      </c>
      <c r="AJ38" s="106">
        <v>715</v>
      </c>
      <c r="AK38" s="106">
        <v>687</v>
      </c>
      <c r="AL38" s="106">
        <v>694</v>
      </c>
      <c r="AM38" s="106">
        <v>662</v>
      </c>
      <c r="AN38" s="106">
        <v>644</v>
      </c>
      <c r="AO38" s="106">
        <v>645</v>
      </c>
      <c r="AP38" s="106">
        <v>587</v>
      </c>
      <c r="AQ38" s="106">
        <v>593</v>
      </c>
      <c r="AR38" s="106">
        <v>592</v>
      </c>
      <c r="AS38" s="106">
        <v>580</v>
      </c>
    </row>
    <row r="39" spans="1:45" ht="12.75">
      <c r="A39" s="240" t="s">
        <v>36</v>
      </c>
      <c r="B39" s="240"/>
      <c r="C39" s="240"/>
      <c r="E39" s="139" t="s">
        <v>67</v>
      </c>
      <c r="F39" s="2">
        <v>6642</v>
      </c>
      <c r="G39" s="2">
        <v>6441</v>
      </c>
      <c r="H39" s="2">
        <v>6156</v>
      </c>
      <c r="I39" s="2">
        <v>6266</v>
      </c>
      <c r="J39" s="2">
        <v>5956</v>
      </c>
      <c r="K39" s="2">
        <v>5928</v>
      </c>
      <c r="L39" s="2">
        <v>6216</v>
      </c>
      <c r="M39" s="2">
        <v>6864</v>
      </c>
      <c r="N39" s="2">
        <v>6930</v>
      </c>
      <c r="O39" s="2">
        <v>6582</v>
      </c>
      <c r="P39" s="2">
        <v>6086</v>
      </c>
      <c r="Q39" s="2">
        <v>2168</v>
      </c>
      <c r="R39" s="2">
        <v>1939</v>
      </c>
      <c r="S39" s="2">
        <v>1822</v>
      </c>
      <c r="T39" s="2">
        <v>1603</v>
      </c>
      <c r="U39" s="2">
        <v>2486</v>
      </c>
      <c r="V39" s="2">
        <v>2232</v>
      </c>
      <c r="W39" s="2">
        <v>2031</v>
      </c>
      <c r="X39" s="2">
        <v>1924</v>
      </c>
      <c r="Y39" s="2">
        <v>3992</v>
      </c>
      <c r="Z39" s="2">
        <v>3144</v>
      </c>
      <c r="AA39" s="2">
        <v>4261</v>
      </c>
      <c r="AB39" s="2">
        <v>4313</v>
      </c>
      <c r="AC39" s="2">
        <v>4765</v>
      </c>
      <c r="AD39" s="2">
        <v>3982</v>
      </c>
      <c r="AE39" s="2">
        <v>3410</v>
      </c>
      <c r="AF39" s="2">
        <v>3197</v>
      </c>
      <c r="AG39" s="2">
        <v>3425</v>
      </c>
      <c r="AH39" s="2">
        <v>3651</v>
      </c>
      <c r="AI39" s="106">
        <v>3909</v>
      </c>
      <c r="AJ39" s="106">
        <v>4092</v>
      </c>
      <c r="AK39" s="106">
        <v>5162</v>
      </c>
      <c r="AL39" s="106">
        <v>6124</v>
      </c>
      <c r="AM39" s="106">
        <v>4574</v>
      </c>
      <c r="AN39" s="106">
        <v>5312</v>
      </c>
      <c r="AO39" s="106">
        <v>4906</v>
      </c>
      <c r="AP39" s="106">
        <v>6352</v>
      </c>
      <c r="AQ39" s="106">
        <v>6863</v>
      </c>
      <c r="AR39" s="106">
        <v>6624</v>
      </c>
      <c r="AS39" s="106">
        <v>4514</v>
      </c>
    </row>
    <row r="40" spans="1:45" ht="12.75">
      <c r="A40" s="240" t="s">
        <v>36</v>
      </c>
      <c r="B40" s="240"/>
      <c r="C40" s="240"/>
      <c r="E40" s="93" t="s">
        <v>68</v>
      </c>
      <c r="F40" s="2">
        <v>4009</v>
      </c>
      <c r="G40" s="2">
        <v>3961</v>
      </c>
      <c r="H40" s="2">
        <v>3849</v>
      </c>
      <c r="I40" s="2">
        <v>3813</v>
      </c>
      <c r="J40" s="2">
        <v>3749</v>
      </c>
      <c r="K40" s="2">
        <v>4183</v>
      </c>
      <c r="L40" s="2">
        <v>4042</v>
      </c>
      <c r="M40" s="2">
        <v>4175</v>
      </c>
      <c r="N40" s="2">
        <v>4363</v>
      </c>
      <c r="O40" s="2">
        <v>4301</v>
      </c>
      <c r="P40" s="2">
        <v>4330</v>
      </c>
      <c r="Q40" s="2">
        <v>5449</v>
      </c>
      <c r="R40" s="2">
        <v>5540</v>
      </c>
      <c r="S40" s="2">
        <v>5748</v>
      </c>
      <c r="T40" s="2">
        <v>5240</v>
      </c>
      <c r="U40" s="2">
        <v>5306</v>
      </c>
      <c r="V40" s="2">
        <v>5184</v>
      </c>
      <c r="W40" s="2">
        <v>5172</v>
      </c>
      <c r="X40" s="2">
        <v>5126</v>
      </c>
      <c r="Y40" s="2">
        <v>5300</v>
      </c>
      <c r="Z40" s="2">
        <v>5161</v>
      </c>
      <c r="AA40" s="2">
        <v>4981</v>
      </c>
      <c r="AB40" s="2">
        <v>4728</v>
      </c>
      <c r="AC40" s="2">
        <v>4551</v>
      </c>
      <c r="AD40" s="2">
        <v>4379</v>
      </c>
      <c r="AE40" s="2">
        <v>4330</v>
      </c>
      <c r="AF40" s="2">
        <v>3991</v>
      </c>
      <c r="AG40" s="2">
        <v>4522</v>
      </c>
      <c r="AH40" s="2">
        <v>4499</v>
      </c>
      <c r="AI40" s="106">
        <v>4591</v>
      </c>
      <c r="AJ40" s="106">
        <v>5213</v>
      </c>
      <c r="AK40" s="106">
        <v>5665</v>
      </c>
      <c r="AL40" s="106">
        <v>5784</v>
      </c>
      <c r="AM40" s="106">
        <v>5427</v>
      </c>
      <c r="AN40" s="106">
        <v>5495</v>
      </c>
      <c r="AO40" s="106">
        <v>5649</v>
      </c>
      <c r="AP40" s="106">
        <v>5682</v>
      </c>
      <c r="AQ40" s="106">
        <v>5736</v>
      </c>
      <c r="AR40" s="106">
        <v>5825</v>
      </c>
      <c r="AS40" s="106">
        <v>5792</v>
      </c>
    </row>
    <row r="41" spans="1:45" ht="12.75">
      <c r="A41" s="240" t="s">
        <v>37</v>
      </c>
      <c r="B41" s="240"/>
      <c r="C41" s="240"/>
      <c r="E41" s="119" t="s">
        <v>69</v>
      </c>
      <c r="F41" s="1">
        <v>15689</v>
      </c>
      <c r="G41" s="1">
        <v>15361</v>
      </c>
      <c r="H41" s="1">
        <v>14902</v>
      </c>
      <c r="I41" s="1">
        <v>15901</v>
      </c>
      <c r="J41" s="1">
        <v>16005</v>
      </c>
      <c r="K41" s="1">
        <v>19536</v>
      </c>
      <c r="L41" s="1">
        <v>20186</v>
      </c>
      <c r="M41" s="1">
        <v>21842</v>
      </c>
      <c r="N41" s="1">
        <v>23230</v>
      </c>
      <c r="O41" s="1">
        <v>22181</v>
      </c>
      <c r="P41" s="1">
        <v>21302</v>
      </c>
      <c r="Q41" s="1">
        <v>18677</v>
      </c>
      <c r="R41" s="1">
        <v>17813</v>
      </c>
      <c r="S41" s="1">
        <v>17619</v>
      </c>
      <c r="T41" s="1">
        <v>16770</v>
      </c>
      <c r="U41" s="1">
        <v>17011</v>
      </c>
      <c r="V41" s="1">
        <v>16468</v>
      </c>
      <c r="W41" s="1">
        <v>18957</v>
      </c>
      <c r="X41" s="1">
        <v>19832</v>
      </c>
      <c r="Y41" s="1">
        <v>20007</v>
      </c>
      <c r="Z41" s="1">
        <v>19997</v>
      </c>
      <c r="AA41" s="1">
        <v>20952</v>
      </c>
      <c r="AB41" s="1">
        <v>19288</v>
      </c>
      <c r="AC41" s="1">
        <v>20438</v>
      </c>
      <c r="AD41" s="1">
        <v>20559</v>
      </c>
      <c r="AE41" s="1">
        <v>20771</v>
      </c>
      <c r="AF41" s="1">
        <v>20126</v>
      </c>
      <c r="AG41" s="1">
        <v>20908</v>
      </c>
      <c r="AH41" s="1">
        <v>20788</v>
      </c>
      <c r="AI41" s="130">
        <v>19462</v>
      </c>
      <c r="AJ41" s="130">
        <v>19544</v>
      </c>
      <c r="AK41" s="130">
        <v>21043</v>
      </c>
      <c r="AL41" s="130">
        <v>22182</v>
      </c>
      <c r="AM41" s="130">
        <v>18919</v>
      </c>
      <c r="AN41" s="130">
        <v>19922</v>
      </c>
      <c r="AO41" s="130">
        <v>19523</v>
      </c>
      <c r="AP41" s="130">
        <v>20882</v>
      </c>
      <c r="AQ41" s="130">
        <v>21599</v>
      </c>
      <c r="AR41" s="130">
        <v>21485</v>
      </c>
      <c r="AS41" s="130">
        <v>18838</v>
      </c>
    </row>
    <row r="42" spans="1:45" ht="12.75">
      <c r="A42" s="240" t="s">
        <v>36</v>
      </c>
      <c r="B42" s="240"/>
      <c r="C42" s="240"/>
      <c r="E42" s="93" t="s">
        <v>70</v>
      </c>
      <c r="F42" s="2">
        <v>15969</v>
      </c>
      <c r="G42" s="2">
        <v>15750</v>
      </c>
      <c r="H42" s="2">
        <v>14977</v>
      </c>
      <c r="I42" s="2">
        <v>14788</v>
      </c>
      <c r="J42" s="2">
        <v>14440</v>
      </c>
      <c r="K42" s="2">
        <v>16191</v>
      </c>
      <c r="L42" s="2">
        <v>16422</v>
      </c>
      <c r="M42" s="2">
        <v>15681</v>
      </c>
      <c r="N42" s="2">
        <v>15377</v>
      </c>
      <c r="O42" s="2">
        <v>16543</v>
      </c>
      <c r="P42" s="2">
        <v>16316</v>
      </c>
      <c r="Q42" s="2">
        <v>16031</v>
      </c>
      <c r="R42" s="2">
        <v>15991</v>
      </c>
      <c r="S42" s="2">
        <v>19162</v>
      </c>
      <c r="T42" s="2">
        <v>17555</v>
      </c>
      <c r="U42" s="2">
        <v>17283</v>
      </c>
      <c r="V42" s="2">
        <v>16513</v>
      </c>
      <c r="W42" s="2">
        <v>18444</v>
      </c>
      <c r="X42" s="2">
        <v>18987</v>
      </c>
      <c r="Y42" s="2">
        <v>18490</v>
      </c>
      <c r="Z42" s="2">
        <v>18161</v>
      </c>
      <c r="AA42" s="2">
        <v>21289</v>
      </c>
      <c r="AB42" s="2">
        <v>20191</v>
      </c>
      <c r="AC42" s="2">
        <v>20590</v>
      </c>
      <c r="AD42" s="2">
        <v>19397</v>
      </c>
      <c r="AE42" s="2">
        <v>21606</v>
      </c>
      <c r="AF42" s="2">
        <v>20692</v>
      </c>
      <c r="AG42" s="2">
        <v>20607</v>
      </c>
      <c r="AH42" s="2">
        <v>21293</v>
      </c>
      <c r="AI42" s="106">
        <v>22647</v>
      </c>
      <c r="AJ42" s="106">
        <v>24198</v>
      </c>
      <c r="AK42" s="106">
        <v>25705</v>
      </c>
      <c r="AL42" s="106">
        <v>25860</v>
      </c>
      <c r="AM42" s="106">
        <v>26414</v>
      </c>
      <c r="AN42" s="106">
        <v>27139</v>
      </c>
      <c r="AO42" s="106">
        <v>26467</v>
      </c>
      <c r="AP42" s="106">
        <v>25522</v>
      </c>
      <c r="AQ42" s="106">
        <v>27894</v>
      </c>
      <c r="AR42" s="106">
        <v>27702</v>
      </c>
      <c r="AS42" s="106">
        <v>28283</v>
      </c>
    </row>
    <row r="43" spans="1:45" ht="12.75">
      <c r="A43" s="240" t="s">
        <v>36</v>
      </c>
      <c r="B43" s="240"/>
      <c r="C43" s="240"/>
      <c r="E43" s="93" t="s">
        <v>71</v>
      </c>
      <c r="F43" s="2">
        <v>1867</v>
      </c>
      <c r="G43" s="2">
        <v>1678</v>
      </c>
      <c r="H43" s="2">
        <v>2006</v>
      </c>
      <c r="I43" s="2">
        <v>2027</v>
      </c>
      <c r="J43" s="2">
        <v>1804</v>
      </c>
      <c r="K43" s="2">
        <v>1676</v>
      </c>
      <c r="L43" s="2">
        <v>2077</v>
      </c>
      <c r="M43" s="2">
        <v>2329</v>
      </c>
      <c r="N43" s="2">
        <v>2148</v>
      </c>
      <c r="O43" s="2">
        <v>2292</v>
      </c>
      <c r="P43" s="2">
        <v>2469</v>
      </c>
      <c r="Q43" s="2">
        <v>2367</v>
      </c>
      <c r="R43" s="2">
        <v>2326</v>
      </c>
      <c r="S43" s="2">
        <v>2383</v>
      </c>
      <c r="T43" s="2">
        <v>1722</v>
      </c>
      <c r="U43" s="2">
        <v>1868</v>
      </c>
      <c r="V43" s="2">
        <v>1794</v>
      </c>
      <c r="W43" s="2">
        <v>1566</v>
      </c>
      <c r="X43" s="2">
        <v>1629</v>
      </c>
      <c r="Y43" s="2">
        <v>1717</v>
      </c>
      <c r="Z43" s="2">
        <v>1499</v>
      </c>
      <c r="AA43" s="2">
        <v>1343</v>
      </c>
      <c r="AB43" s="2">
        <v>1565</v>
      </c>
      <c r="AC43" s="2">
        <v>1287</v>
      </c>
      <c r="AD43" s="2">
        <v>1201</v>
      </c>
      <c r="AE43" s="2">
        <v>1306</v>
      </c>
      <c r="AF43" s="2">
        <v>1239</v>
      </c>
      <c r="AG43" s="2">
        <v>1331</v>
      </c>
      <c r="AH43" s="2">
        <v>1268</v>
      </c>
      <c r="AI43" s="106">
        <v>1155</v>
      </c>
      <c r="AJ43" s="106">
        <v>1180</v>
      </c>
      <c r="AK43" s="106">
        <v>1042</v>
      </c>
      <c r="AL43" s="106">
        <v>1115</v>
      </c>
      <c r="AM43" s="106">
        <v>979</v>
      </c>
      <c r="AN43" s="106">
        <v>839</v>
      </c>
      <c r="AO43" s="106">
        <v>813</v>
      </c>
      <c r="AP43" s="106">
        <v>731</v>
      </c>
      <c r="AQ43" s="106">
        <v>575</v>
      </c>
      <c r="AR43" s="106">
        <v>657</v>
      </c>
      <c r="AS43" s="106">
        <v>771</v>
      </c>
    </row>
    <row r="44" spans="1:45" ht="12.75">
      <c r="A44" s="240" t="s">
        <v>36</v>
      </c>
      <c r="B44" s="240"/>
      <c r="C44" s="240"/>
      <c r="E44" s="93" t="s">
        <v>364</v>
      </c>
      <c r="F44" s="2">
        <v>0</v>
      </c>
      <c r="G44" s="2">
        <v>0</v>
      </c>
      <c r="H44" s="2">
        <v>0</v>
      </c>
      <c r="I44" s="2">
        <v>0</v>
      </c>
      <c r="J44" s="2">
        <v>0</v>
      </c>
      <c r="K44" s="2">
        <v>0</v>
      </c>
      <c r="L44" s="2">
        <v>0</v>
      </c>
      <c r="M44" s="2">
        <v>0</v>
      </c>
      <c r="N44" s="2">
        <v>0</v>
      </c>
      <c r="O44" s="2">
        <v>0</v>
      </c>
      <c r="P44" s="2">
        <v>0</v>
      </c>
      <c r="Q44" s="2">
        <v>0</v>
      </c>
      <c r="R44" s="2">
        <v>1138</v>
      </c>
      <c r="S44" s="2">
        <v>0</v>
      </c>
      <c r="T44" s="2">
        <v>0</v>
      </c>
      <c r="U44" s="2">
        <v>0</v>
      </c>
      <c r="V44" s="2">
        <v>1850</v>
      </c>
      <c r="W44" s="2">
        <v>0</v>
      </c>
      <c r="X44" s="2">
        <v>0</v>
      </c>
      <c r="Y44" s="2"/>
      <c r="Z44" s="2">
        <v>1860</v>
      </c>
      <c r="AA44" s="2"/>
      <c r="AB44" s="2"/>
      <c r="AC44" s="2"/>
      <c r="AD44" s="2">
        <v>1860</v>
      </c>
      <c r="AE44" s="2">
        <v>0</v>
      </c>
      <c r="AF44" s="2">
        <v>0</v>
      </c>
      <c r="AG44" s="2">
        <v>0</v>
      </c>
      <c r="AH44" s="2">
        <v>1861</v>
      </c>
      <c r="AI44" s="106">
        <v>0</v>
      </c>
      <c r="AJ44" s="106">
        <v>0</v>
      </c>
      <c r="AK44" s="106">
        <v>0</v>
      </c>
      <c r="AL44" s="106">
        <v>1868</v>
      </c>
      <c r="AM44" s="106">
        <v>0</v>
      </c>
      <c r="AN44" s="106">
        <v>0</v>
      </c>
      <c r="AO44" s="106">
        <v>0</v>
      </c>
      <c r="AP44" s="106">
        <v>0</v>
      </c>
      <c r="AQ44" s="106">
        <v>0</v>
      </c>
      <c r="AR44" s="106">
        <v>0</v>
      </c>
      <c r="AS44" s="106">
        <v>0</v>
      </c>
    </row>
    <row r="45" spans="1:45" ht="12.75">
      <c r="A45" s="240" t="s">
        <v>36</v>
      </c>
      <c r="B45" s="240"/>
      <c r="C45" s="240"/>
      <c r="E45" s="49" t="s">
        <v>476</v>
      </c>
      <c r="F45" s="2">
        <v>9736</v>
      </c>
      <c r="G45" s="2">
        <v>10047</v>
      </c>
      <c r="H45" s="2">
        <v>10616</v>
      </c>
      <c r="I45" s="2">
        <v>10049</v>
      </c>
      <c r="J45" s="2">
        <v>9296</v>
      </c>
      <c r="K45" s="2">
        <v>10344</v>
      </c>
      <c r="L45" s="2">
        <v>11287</v>
      </c>
      <c r="M45" s="2">
        <v>10644</v>
      </c>
      <c r="N45" s="2">
        <v>10900</v>
      </c>
      <c r="O45" s="2">
        <v>11648</v>
      </c>
      <c r="P45" s="2">
        <v>11783</v>
      </c>
      <c r="Q45" s="2">
        <v>11235</v>
      </c>
      <c r="R45" s="2">
        <v>10783</v>
      </c>
      <c r="S45" s="2">
        <v>11853</v>
      </c>
      <c r="T45" s="2">
        <v>11486</v>
      </c>
      <c r="U45" s="2">
        <v>10907</v>
      </c>
      <c r="V45" s="2">
        <v>9980</v>
      </c>
      <c r="W45" s="2">
        <v>10555</v>
      </c>
      <c r="X45" s="2">
        <v>11695</v>
      </c>
      <c r="Y45" s="2">
        <v>10690</v>
      </c>
      <c r="Z45" s="2">
        <v>10273</v>
      </c>
      <c r="AA45" s="2">
        <v>11531</v>
      </c>
      <c r="AB45" s="2">
        <v>11574</v>
      </c>
      <c r="AC45" s="2">
        <v>11971</v>
      </c>
      <c r="AD45" s="2">
        <v>10856</v>
      </c>
      <c r="AE45" s="2">
        <v>12188</v>
      </c>
      <c r="AF45" s="2">
        <v>12346</v>
      </c>
      <c r="AG45" s="2">
        <v>12886</v>
      </c>
      <c r="AH45" s="2">
        <v>11499</v>
      </c>
      <c r="AI45" s="106">
        <v>12439</v>
      </c>
      <c r="AJ45" s="106">
        <v>13085</v>
      </c>
      <c r="AK45" s="106">
        <v>13531</v>
      </c>
      <c r="AL45" s="106">
        <v>12915</v>
      </c>
      <c r="AM45" s="106">
        <v>13054</v>
      </c>
      <c r="AN45" s="106">
        <v>14437</v>
      </c>
      <c r="AO45" s="106">
        <v>14529</v>
      </c>
      <c r="AP45" s="106">
        <v>13393</v>
      </c>
      <c r="AQ45" s="106">
        <v>14254</v>
      </c>
      <c r="AR45" s="106">
        <v>15638</v>
      </c>
      <c r="AS45" s="106">
        <v>15727</v>
      </c>
    </row>
    <row r="46" spans="1:45" ht="12.75">
      <c r="A46" s="240" t="s">
        <v>36</v>
      </c>
      <c r="B46" s="240"/>
      <c r="C46" s="240"/>
      <c r="E46" s="93" t="s">
        <v>72</v>
      </c>
      <c r="F46" s="2">
        <v>6405</v>
      </c>
      <c r="G46" s="2">
        <v>7162</v>
      </c>
      <c r="H46" s="2">
        <v>6213</v>
      </c>
      <c r="I46" s="2">
        <v>5701</v>
      </c>
      <c r="J46" s="2">
        <v>4670</v>
      </c>
      <c r="K46" s="2">
        <v>2539</v>
      </c>
      <c r="L46" s="2">
        <v>2359</v>
      </c>
      <c r="M46" s="2">
        <v>3168</v>
      </c>
      <c r="N46" s="2">
        <v>3098</v>
      </c>
      <c r="O46" s="2">
        <v>3499</v>
      </c>
      <c r="P46" s="2">
        <v>3278</v>
      </c>
      <c r="Q46" s="2">
        <v>3364</v>
      </c>
      <c r="R46" s="2">
        <v>2805</v>
      </c>
      <c r="S46" s="2">
        <v>2254</v>
      </c>
      <c r="T46" s="2">
        <v>2333</v>
      </c>
      <c r="U46" s="2">
        <v>3139</v>
      </c>
      <c r="V46" s="2">
        <v>1873</v>
      </c>
      <c r="W46" s="2">
        <v>1823</v>
      </c>
      <c r="X46" s="2">
        <v>2352</v>
      </c>
      <c r="Y46" s="2">
        <v>4170</v>
      </c>
      <c r="Z46" s="2">
        <v>5603</v>
      </c>
      <c r="AA46" s="2">
        <v>4106</v>
      </c>
      <c r="AB46" s="2">
        <v>4715</v>
      </c>
      <c r="AC46" s="2">
        <v>2795</v>
      </c>
      <c r="AD46" s="2">
        <v>5432</v>
      </c>
      <c r="AE46" s="2">
        <v>3791</v>
      </c>
      <c r="AF46" s="2">
        <v>2036</v>
      </c>
      <c r="AG46" s="2">
        <v>2733</v>
      </c>
      <c r="AH46" s="2">
        <v>2676</v>
      </c>
      <c r="AI46" s="106">
        <v>4058</v>
      </c>
      <c r="AJ46" s="106">
        <v>4600</v>
      </c>
      <c r="AK46" s="106">
        <v>4960</v>
      </c>
      <c r="AL46" s="106">
        <v>4430</v>
      </c>
      <c r="AM46" s="106">
        <v>5434</v>
      </c>
      <c r="AN46" s="106">
        <v>4548</v>
      </c>
      <c r="AO46" s="106">
        <v>4504</v>
      </c>
      <c r="AP46" s="106">
        <v>4373</v>
      </c>
      <c r="AQ46" s="106">
        <v>1588</v>
      </c>
      <c r="AR46" s="106">
        <v>1617</v>
      </c>
      <c r="AS46" s="106">
        <v>1807</v>
      </c>
    </row>
    <row r="47" spans="1:45" ht="12.75">
      <c r="A47" s="240" t="s">
        <v>36</v>
      </c>
      <c r="B47" s="240"/>
      <c r="C47" s="240"/>
      <c r="E47" s="93" t="s">
        <v>52</v>
      </c>
      <c r="F47" s="2">
        <v>253</v>
      </c>
      <c r="G47" s="2">
        <v>414</v>
      </c>
      <c r="H47" s="2">
        <v>277</v>
      </c>
      <c r="I47" s="2">
        <v>280</v>
      </c>
      <c r="J47" s="2">
        <v>278</v>
      </c>
      <c r="K47" s="2">
        <v>426</v>
      </c>
      <c r="L47" s="2">
        <v>307</v>
      </c>
      <c r="M47" s="2">
        <v>784</v>
      </c>
      <c r="N47" s="2">
        <v>795</v>
      </c>
      <c r="O47" s="2">
        <v>781</v>
      </c>
      <c r="P47" s="2">
        <v>723</v>
      </c>
      <c r="Q47" s="2">
        <v>351</v>
      </c>
      <c r="R47" s="2">
        <v>462</v>
      </c>
      <c r="S47" s="2">
        <v>532</v>
      </c>
      <c r="T47" s="2">
        <v>862</v>
      </c>
      <c r="U47" s="2">
        <v>483</v>
      </c>
      <c r="V47" s="2">
        <v>334</v>
      </c>
      <c r="W47" s="2">
        <v>359</v>
      </c>
      <c r="X47" s="2">
        <v>272</v>
      </c>
      <c r="Y47" s="2">
        <v>324</v>
      </c>
      <c r="Z47" s="2">
        <v>274</v>
      </c>
      <c r="AA47" s="2">
        <v>230</v>
      </c>
      <c r="AB47" s="2">
        <v>353</v>
      </c>
      <c r="AC47" s="2">
        <v>241</v>
      </c>
      <c r="AD47" s="2">
        <v>222</v>
      </c>
      <c r="AE47" s="2">
        <v>143</v>
      </c>
      <c r="AF47" s="2">
        <v>280</v>
      </c>
      <c r="AG47" s="2">
        <v>194</v>
      </c>
      <c r="AH47" s="2">
        <v>236</v>
      </c>
      <c r="AI47" s="106">
        <v>198</v>
      </c>
      <c r="AJ47" s="106">
        <v>104</v>
      </c>
      <c r="AK47" s="106">
        <v>156</v>
      </c>
      <c r="AL47" s="106">
        <v>256</v>
      </c>
      <c r="AM47" s="106">
        <v>181</v>
      </c>
      <c r="AN47" s="106">
        <v>144</v>
      </c>
      <c r="AO47" s="106">
        <v>222</v>
      </c>
      <c r="AP47" s="106">
        <v>344</v>
      </c>
      <c r="AQ47" s="106">
        <v>281</v>
      </c>
      <c r="AR47" s="106">
        <v>78</v>
      </c>
      <c r="AS47" s="106">
        <v>432</v>
      </c>
    </row>
    <row r="48" spans="1:45" ht="12.75">
      <c r="A48" s="240" t="s">
        <v>36</v>
      </c>
      <c r="B48" s="240"/>
      <c r="C48" s="240"/>
      <c r="E48" s="93" t="s">
        <v>68</v>
      </c>
      <c r="F48" s="2">
        <v>1347</v>
      </c>
      <c r="G48" s="2">
        <v>1178</v>
      </c>
      <c r="H48" s="2">
        <v>1166</v>
      </c>
      <c r="I48" s="2">
        <v>1303</v>
      </c>
      <c r="J48" s="2">
        <v>1589</v>
      </c>
      <c r="K48" s="2">
        <v>1701</v>
      </c>
      <c r="L48" s="2">
        <v>1651</v>
      </c>
      <c r="M48" s="2">
        <v>2490</v>
      </c>
      <c r="N48" s="2">
        <v>2582</v>
      </c>
      <c r="O48" s="2">
        <v>2352</v>
      </c>
      <c r="P48" s="2">
        <v>1969</v>
      </c>
      <c r="Q48" s="2">
        <v>1830</v>
      </c>
      <c r="R48" s="2">
        <v>1718</v>
      </c>
      <c r="S48" s="2">
        <v>1693</v>
      </c>
      <c r="T48" s="2">
        <v>1554</v>
      </c>
      <c r="U48" s="2">
        <v>2217</v>
      </c>
      <c r="V48" s="2">
        <v>1902</v>
      </c>
      <c r="W48" s="2">
        <v>1728</v>
      </c>
      <c r="X48" s="2">
        <v>1884</v>
      </c>
      <c r="Y48" s="2">
        <v>2365</v>
      </c>
      <c r="Z48" s="2">
        <v>2216</v>
      </c>
      <c r="AA48" s="2">
        <v>2193</v>
      </c>
      <c r="AB48" s="2">
        <v>1941</v>
      </c>
      <c r="AC48" s="2">
        <v>2146</v>
      </c>
      <c r="AD48" s="2">
        <v>2135</v>
      </c>
      <c r="AE48" s="2">
        <v>2118</v>
      </c>
      <c r="AF48" s="2">
        <v>2244</v>
      </c>
      <c r="AG48" s="2">
        <v>3034</v>
      </c>
      <c r="AH48" s="2">
        <v>2934</v>
      </c>
      <c r="AI48" s="106">
        <v>3485</v>
      </c>
      <c r="AJ48" s="106">
        <v>3132</v>
      </c>
      <c r="AK48" s="106">
        <v>2783</v>
      </c>
      <c r="AL48" s="106">
        <v>2746</v>
      </c>
      <c r="AM48" s="106">
        <v>2758</v>
      </c>
      <c r="AN48" s="106">
        <v>2604</v>
      </c>
      <c r="AO48" s="106">
        <v>2408</v>
      </c>
      <c r="AP48" s="106">
        <v>2233</v>
      </c>
      <c r="AQ48" s="106">
        <v>2237</v>
      </c>
      <c r="AR48" s="106">
        <v>2303</v>
      </c>
      <c r="AS48" s="106">
        <v>2252</v>
      </c>
    </row>
    <row r="49" spans="1:45" ht="12.75">
      <c r="A49" s="240" t="s">
        <v>37</v>
      </c>
      <c r="B49" s="240"/>
      <c r="C49" s="240"/>
      <c r="E49" s="119" t="s">
        <v>73</v>
      </c>
      <c r="F49" s="1">
        <v>35577</v>
      </c>
      <c r="G49" s="1">
        <v>36229</v>
      </c>
      <c r="H49" s="1">
        <v>35255</v>
      </c>
      <c r="I49" s="1">
        <v>34148</v>
      </c>
      <c r="J49" s="1">
        <v>32077</v>
      </c>
      <c r="K49" s="1">
        <v>32877</v>
      </c>
      <c r="L49" s="1">
        <v>34103</v>
      </c>
      <c r="M49" s="1">
        <v>35096</v>
      </c>
      <c r="N49" s="1">
        <v>34900</v>
      </c>
      <c r="O49" s="1">
        <v>37115</v>
      </c>
      <c r="P49" s="1">
        <v>36538</v>
      </c>
      <c r="Q49" s="1">
        <v>35178</v>
      </c>
      <c r="R49" s="1">
        <v>35223</v>
      </c>
      <c r="S49" s="1">
        <v>37877</v>
      </c>
      <c r="T49" s="1">
        <v>35512</v>
      </c>
      <c r="U49" s="1">
        <v>35897</v>
      </c>
      <c r="V49" s="1">
        <v>34246</v>
      </c>
      <c r="W49" s="1">
        <v>34475</v>
      </c>
      <c r="X49" s="1">
        <v>36819</v>
      </c>
      <c r="Y49" s="1">
        <v>37756</v>
      </c>
      <c r="Z49" s="1">
        <v>39886</v>
      </c>
      <c r="AA49" s="1">
        <v>40692</v>
      </c>
      <c r="AB49" s="1">
        <v>40339</v>
      </c>
      <c r="AC49" s="1">
        <v>39030</v>
      </c>
      <c r="AD49" s="1">
        <v>41103</v>
      </c>
      <c r="AE49" s="1">
        <v>41152</v>
      </c>
      <c r="AF49" s="1">
        <v>38837</v>
      </c>
      <c r="AG49" s="1">
        <v>40785</v>
      </c>
      <c r="AH49" s="1">
        <v>41767</v>
      </c>
      <c r="AI49" s="130">
        <v>43982</v>
      </c>
      <c r="AJ49" s="130">
        <v>46299</v>
      </c>
      <c r="AK49" s="130">
        <v>48177</v>
      </c>
      <c r="AL49" s="130">
        <v>49190</v>
      </c>
      <c r="AM49" s="130">
        <v>48820</v>
      </c>
      <c r="AN49" s="130">
        <v>49711</v>
      </c>
      <c r="AO49" s="130">
        <v>48943</v>
      </c>
      <c r="AP49" s="130">
        <v>46596</v>
      </c>
      <c r="AQ49" s="130">
        <v>46829</v>
      </c>
      <c r="AR49" s="130">
        <v>47995</v>
      </c>
      <c r="AS49" s="130">
        <v>49272</v>
      </c>
    </row>
    <row r="50" spans="1:45" ht="12.75">
      <c r="A50" s="240" t="s">
        <v>37</v>
      </c>
      <c r="B50" s="240"/>
      <c r="C50" s="240"/>
      <c r="E50" s="119" t="s">
        <v>74</v>
      </c>
      <c r="F50" s="1">
        <v>65836</v>
      </c>
      <c r="G50" s="1">
        <v>65563</v>
      </c>
      <c r="H50" s="1">
        <v>64516</v>
      </c>
      <c r="I50" s="1">
        <v>66089</v>
      </c>
      <c r="J50" s="1">
        <v>62908</v>
      </c>
      <c r="K50" s="1">
        <v>66770</v>
      </c>
      <c r="L50" s="1">
        <v>70291</v>
      </c>
      <c r="M50" s="1">
        <v>73323</v>
      </c>
      <c r="N50" s="1">
        <v>74395</v>
      </c>
      <c r="O50" s="1">
        <v>76534</v>
      </c>
      <c r="P50" s="1">
        <v>75320</v>
      </c>
      <c r="Q50" s="1">
        <v>72696</v>
      </c>
      <c r="R50" s="1">
        <v>71311</v>
      </c>
      <c r="S50" s="1">
        <v>75204</v>
      </c>
      <c r="T50" s="1">
        <v>72012</v>
      </c>
      <c r="U50" s="1">
        <v>73521</v>
      </c>
      <c r="V50" s="1">
        <v>69059</v>
      </c>
      <c r="W50" s="1">
        <v>72905</v>
      </c>
      <c r="X50" s="1">
        <v>77253</v>
      </c>
      <c r="Y50" s="1">
        <v>75409</v>
      </c>
      <c r="Z50" s="1">
        <v>76532</v>
      </c>
      <c r="AA50" s="1">
        <v>78699</v>
      </c>
      <c r="AB50" s="1">
        <v>75757</v>
      </c>
      <c r="AC50" s="1">
        <v>75194</v>
      </c>
      <c r="AD50" s="1">
        <v>76091</v>
      </c>
      <c r="AE50" s="1">
        <v>77825</v>
      </c>
      <c r="AF50" s="1">
        <v>74242</v>
      </c>
      <c r="AG50" s="1">
        <v>76001</v>
      </c>
      <c r="AH50" s="1">
        <v>74935</v>
      </c>
      <c r="AI50" s="130">
        <v>76586</v>
      </c>
      <c r="AJ50" s="130">
        <v>81148</v>
      </c>
      <c r="AK50" s="130">
        <v>85688</v>
      </c>
      <c r="AL50" s="130">
        <v>86873</v>
      </c>
      <c r="AM50" s="130">
        <v>83817</v>
      </c>
      <c r="AN50" s="130">
        <v>85510</v>
      </c>
      <c r="AO50" s="130">
        <v>83471</v>
      </c>
      <c r="AP50" s="130">
        <v>81447</v>
      </c>
      <c r="AQ50" s="130">
        <v>82350</v>
      </c>
      <c r="AR50" s="130">
        <v>85224</v>
      </c>
      <c r="AS50" s="130">
        <v>85848</v>
      </c>
    </row>
    <row r="51" spans="1:34" ht="12.75">
      <c r="A51" s="240" t="s">
        <v>38</v>
      </c>
      <c r="B51" s="240"/>
      <c r="C51" s="240"/>
      <c r="E51" s="93"/>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45" ht="12.75">
      <c r="A52" s="240" t="s">
        <v>37</v>
      </c>
      <c r="B52" s="240"/>
      <c r="C52" s="240"/>
      <c r="E52" s="119" t="s">
        <v>75</v>
      </c>
      <c r="F52" s="1">
        <v>1214</v>
      </c>
      <c r="G52" s="1">
        <v>1276</v>
      </c>
      <c r="H52" s="1">
        <v>1084</v>
      </c>
      <c r="I52" s="1">
        <v>1016</v>
      </c>
      <c r="J52" s="1">
        <v>814</v>
      </c>
      <c r="K52" s="1">
        <v>1187</v>
      </c>
      <c r="L52" s="1">
        <v>1189</v>
      </c>
      <c r="M52" s="1">
        <v>1293</v>
      </c>
      <c r="N52" s="1">
        <v>1573</v>
      </c>
      <c r="O52" s="1">
        <v>1471</v>
      </c>
      <c r="P52" s="1">
        <v>1317</v>
      </c>
      <c r="Q52" s="1">
        <v>1185</v>
      </c>
      <c r="R52" s="1">
        <v>1241</v>
      </c>
      <c r="S52" s="1">
        <v>1318</v>
      </c>
      <c r="T52" s="1">
        <v>1120</v>
      </c>
      <c r="U52" s="1">
        <v>1062</v>
      </c>
      <c r="V52" s="1">
        <v>1186</v>
      </c>
      <c r="W52" s="1">
        <v>1160</v>
      </c>
      <c r="X52" s="1">
        <v>1263</v>
      </c>
      <c r="Y52" s="1">
        <v>1276</v>
      </c>
      <c r="Z52" s="1">
        <v>1513</v>
      </c>
      <c r="AA52" s="1">
        <v>1959</v>
      </c>
      <c r="AB52" s="1">
        <v>1729</v>
      </c>
      <c r="AC52" s="1">
        <v>1610</v>
      </c>
      <c r="AD52" s="1">
        <v>1830</v>
      </c>
      <c r="AE52" s="1">
        <v>1834</v>
      </c>
      <c r="AF52" s="1">
        <v>1619</v>
      </c>
      <c r="AG52" s="1">
        <v>1458</v>
      </c>
      <c r="AH52" s="1">
        <v>1463</v>
      </c>
      <c r="AI52" s="14">
        <v>1467</v>
      </c>
      <c r="AJ52" s="14">
        <v>2974.3625</v>
      </c>
      <c r="AK52" s="14">
        <v>3739</v>
      </c>
      <c r="AL52" s="14">
        <v>3094</v>
      </c>
      <c r="AM52" s="14">
        <v>2755</v>
      </c>
      <c r="AN52" s="14">
        <v>3084</v>
      </c>
      <c r="AO52" s="14">
        <v>1312</v>
      </c>
      <c r="AP52" s="14">
        <v>1496</v>
      </c>
      <c r="AQ52" s="14">
        <v>1705</v>
      </c>
      <c r="AR52" s="14">
        <v>1474</v>
      </c>
      <c r="AS52" s="14">
        <v>1311</v>
      </c>
    </row>
  </sheetData>
  <sheetProtection/>
  <printOptions/>
  <pageMargins left="0.75" right="0.75" top="1" bottom="1" header="0.5" footer="0.5"/>
  <pageSetup fitToHeight="1" fitToWidth="1" horizontalDpi="600" verticalDpi="600" orientation="portrait" paperSize="8" r:id="rId1"/>
</worksheet>
</file>

<file path=xl/worksheets/sheet6.xml><?xml version="1.0" encoding="utf-8"?>
<worksheet xmlns="http://schemas.openxmlformats.org/spreadsheetml/2006/main" xmlns:r="http://schemas.openxmlformats.org/officeDocument/2006/relationships">
  <sheetPr>
    <pageSetUpPr fitToPage="1"/>
  </sheetPr>
  <dimension ref="A1:AS96"/>
  <sheetViews>
    <sheetView zoomScaleSheetLayoutView="85" zoomScalePageLayoutView="0" workbookViewId="0" topLeftCell="A22">
      <selection activeCell="A1" sqref="A1"/>
    </sheetView>
  </sheetViews>
  <sheetFormatPr defaultColWidth="9.140625" defaultRowHeight="12.75"/>
  <cols>
    <col min="1" max="1" width="11.140625" style="240" bestFit="1" customWidth="1"/>
    <col min="2" max="2" width="12.140625" style="92" customWidth="1"/>
    <col min="3" max="3" width="11.140625" style="92" customWidth="1"/>
    <col min="4" max="4" width="23.8515625" style="92" hidden="1" customWidth="1"/>
    <col min="5" max="5" width="51.421875" style="92" customWidth="1"/>
    <col min="6" max="15" width="11.00390625" style="92" hidden="1" customWidth="1"/>
    <col min="16" max="25" width="9.140625" style="92" hidden="1" customWidth="1"/>
    <col min="26" max="29" width="8.421875" style="92" hidden="1" customWidth="1"/>
    <col min="30" max="32" width="9.140625" style="92" hidden="1" customWidth="1"/>
    <col min="33" max="33" width="8.00390625" style="92" hidden="1" customWidth="1"/>
    <col min="34" max="16384" width="9.140625" style="92"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A1</f>
        <v>42735</v>
      </c>
    </row>
    <row r="3" spans="1:5" ht="12.75">
      <c r="A3" s="250"/>
      <c r="B3" s="97" t="s">
        <v>144</v>
      </c>
      <c r="C3" s="98" t="s">
        <v>145</v>
      </c>
      <c r="D3" s="102" t="s">
        <v>146</v>
      </c>
      <c r="E3" s="102" t="s">
        <v>147</v>
      </c>
    </row>
    <row r="4" spans="1:7" ht="15">
      <c r="A4" s="240" t="s">
        <v>34</v>
      </c>
      <c r="B4" s="97" t="s">
        <v>148</v>
      </c>
      <c r="C4" s="40"/>
      <c r="D4" s="125" t="s">
        <v>343</v>
      </c>
      <c r="E4" s="125" t="s">
        <v>343</v>
      </c>
      <c r="F4" s="34"/>
      <c r="G4" s="34"/>
    </row>
    <row r="5" spans="2:30" ht="12.75">
      <c r="B5" s="97" t="s">
        <v>150</v>
      </c>
      <c r="C5" s="103" t="s">
        <v>284</v>
      </c>
      <c r="D5" s="34"/>
      <c r="E5" s="34"/>
      <c r="F5" s="34"/>
      <c r="G5" s="34"/>
      <c r="Z5" s="168"/>
      <c r="AA5" s="168"/>
      <c r="AB5" s="168"/>
      <c r="AC5" s="168"/>
      <c r="AD5" s="168"/>
    </row>
    <row r="6" spans="1:45" s="153" customFormat="1" ht="12.75">
      <c r="A6" s="245" t="s">
        <v>35</v>
      </c>
      <c r="B6" s="113" t="s">
        <v>149</v>
      </c>
      <c r="C6" s="103" t="s">
        <v>284</v>
      </c>
      <c r="D6" s="103"/>
      <c r="E6" s="154" t="s">
        <v>32</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row>
    <row r="7" spans="1:5" s="33" customFormat="1" ht="12.75">
      <c r="A7" s="238" t="s">
        <v>571</v>
      </c>
      <c r="B7" s="238"/>
      <c r="C7" s="238"/>
      <c r="E7" s="33" t="s">
        <v>31</v>
      </c>
    </row>
    <row r="8" spans="1:25" s="90" customFormat="1" ht="12.75">
      <c r="A8" s="243" t="s">
        <v>35</v>
      </c>
      <c r="B8" s="243"/>
      <c r="C8" s="243"/>
      <c r="E8" s="159" t="s">
        <v>77</v>
      </c>
      <c r="F8" s="254"/>
      <c r="G8" s="254"/>
      <c r="H8" s="254"/>
      <c r="I8" s="254"/>
      <c r="J8" s="254"/>
      <c r="K8" s="254"/>
      <c r="L8" s="254"/>
      <c r="M8" s="254"/>
      <c r="N8" s="254"/>
      <c r="O8" s="254"/>
      <c r="P8" s="254"/>
      <c r="Q8" s="254"/>
      <c r="R8" s="254"/>
      <c r="S8" s="254"/>
      <c r="T8" s="254"/>
      <c r="U8" s="254"/>
      <c r="V8" s="254"/>
      <c r="W8" s="254"/>
      <c r="X8" s="254"/>
      <c r="Y8" s="254"/>
    </row>
    <row r="9" spans="1:45" ht="12.75">
      <c r="A9" s="240" t="s">
        <v>36</v>
      </c>
      <c r="B9" s="240" t="s">
        <v>39</v>
      </c>
      <c r="C9" s="240"/>
      <c r="E9" s="93" t="s">
        <v>17</v>
      </c>
      <c r="F9" s="2">
        <v>757</v>
      </c>
      <c r="G9" s="2">
        <v>890</v>
      </c>
      <c r="H9" s="2">
        <v>1152</v>
      </c>
      <c r="I9" s="2">
        <v>1676</v>
      </c>
      <c r="J9" s="2">
        <v>-5</v>
      </c>
      <c r="K9" s="2">
        <v>254</v>
      </c>
      <c r="L9" s="2">
        <v>1286</v>
      </c>
      <c r="M9" s="2">
        <v>-347</v>
      </c>
      <c r="N9" s="2">
        <v>-386</v>
      </c>
      <c r="O9" s="2">
        <v>1052</v>
      </c>
      <c r="P9" s="2">
        <v>2290</v>
      </c>
      <c r="Q9" s="2">
        <v>805</v>
      </c>
      <c r="R9" s="2">
        <v>1231</v>
      </c>
      <c r="S9" s="2">
        <v>1270</v>
      </c>
      <c r="T9" s="2">
        <v>1977</v>
      </c>
      <c r="U9" s="2">
        <v>952</v>
      </c>
      <c r="V9" s="2">
        <v>696</v>
      </c>
      <c r="W9" s="2">
        <v>745</v>
      </c>
      <c r="X9" s="2">
        <v>1064</v>
      </c>
      <c r="Y9" s="2">
        <v>512</v>
      </c>
      <c r="Z9" s="2">
        <v>907</v>
      </c>
      <c r="AA9" s="2">
        <v>1112</v>
      </c>
      <c r="AB9" s="2">
        <v>1423</v>
      </c>
      <c r="AC9" s="2">
        <v>558</v>
      </c>
      <c r="AD9" s="2">
        <v>638</v>
      </c>
      <c r="AE9" s="2">
        <v>1037</v>
      </c>
      <c r="AF9" s="2">
        <v>1075</v>
      </c>
      <c r="AG9" s="2">
        <v>-1170</v>
      </c>
      <c r="AH9" s="106">
        <v>731</v>
      </c>
      <c r="AI9" s="106">
        <v>63</v>
      </c>
      <c r="AJ9" s="106">
        <v>1392</v>
      </c>
      <c r="AK9" s="106">
        <v>1395</v>
      </c>
      <c r="AL9" s="106">
        <v>516</v>
      </c>
      <c r="AM9" s="106">
        <v>921</v>
      </c>
      <c r="AN9" s="106">
        <v>1506</v>
      </c>
      <c r="AO9" s="106">
        <v>-202</v>
      </c>
      <c r="AP9" s="106">
        <v>1268</v>
      </c>
      <c r="AQ9" s="106">
        <v>1564</v>
      </c>
      <c r="AR9" s="106">
        <v>1826</v>
      </c>
      <c r="AS9" s="106">
        <v>1616</v>
      </c>
    </row>
    <row r="10" spans="1:45" ht="12.75">
      <c r="A10" s="240" t="s">
        <v>36</v>
      </c>
      <c r="B10" s="240" t="s">
        <v>39</v>
      </c>
      <c r="C10" s="240"/>
      <c r="E10" s="93" t="s">
        <v>78</v>
      </c>
      <c r="F10" s="2">
        <v>692</v>
      </c>
      <c r="G10" s="2">
        <v>692</v>
      </c>
      <c r="H10" s="2">
        <v>623</v>
      </c>
      <c r="I10" s="2">
        <v>731</v>
      </c>
      <c r="J10" s="2">
        <v>689</v>
      </c>
      <c r="K10" s="2">
        <v>695</v>
      </c>
      <c r="L10" s="2">
        <v>750</v>
      </c>
      <c r="M10" s="2">
        <v>876</v>
      </c>
      <c r="N10" s="2">
        <v>871</v>
      </c>
      <c r="O10" s="2">
        <v>886</v>
      </c>
      <c r="P10" s="2">
        <v>811</v>
      </c>
      <c r="Q10" s="2">
        <v>874</v>
      </c>
      <c r="R10" s="2">
        <v>816</v>
      </c>
      <c r="S10" s="2">
        <v>849</v>
      </c>
      <c r="T10" s="2">
        <v>814</v>
      </c>
      <c r="U10" s="2">
        <v>849</v>
      </c>
      <c r="V10" s="2">
        <v>761</v>
      </c>
      <c r="W10" s="2">
        <v>806</v>
      </c>
      <c r="X10" s="2">
        <v>788</v>
      </c>
      <c r="Y10" s="2">
        <v>818</v>
      </c>
      <c r="Z10" s="2">
        <v>820</v>
      </c>
      <c r="AA10" s="2">
        <v>826</v>
      </c>
      <c r="AB10" s="2">
        <v>809</v>
      </c>
      <c r="AC10" s="2">
        <v>796</v>
      </c>
      <c r="AD10" s="2">
        <v>822</v>
      </c>
      <c r="AE10" s="2">
        <v>809</v>
      </c>
      <c r="AF10" s="2">
        <v>849</v>
      </c>
      <c r="AG10" s="2">
        <v>876</v>
      </c>
      <c r="AH10" s="106">
        <v>868</v>
      </c>
      <c r="AI10" s="106">
        <v>913</v>
      </c>
      <c r="AJ10" s="106">
        <v>947</v>
      </c>
      <c r="AK10" s="106">
        <v>943</v>
      </c>
      <c r="AL10" s="106">
        <v>960</v>
      </c>
      <c r="AM10" s="106">
        <v>1016</v>
      </c>
      <c r="AN10" s="106">
        <v>980</v>
      </c>
      <c r="AO10" s="106">
        <v>980</v>
      </c>
      <c r="AP10" s="106">
        <v>982</v>
      </c>
      <c r="AQ10" s="106">
        <v>905</v>
      </c>
      <c r="AR10" s="106">
        <v>1002</v>
      </c>
      <c r="AS10" s="106">
        <v>1045</v>
      </c>
    </row>
    <row r="11" spans="1:45" ht="12.75">
      <c r="A11" s="240" t="s">
        <v>36</v>
      </c>
      <c r="B11" s="240"/>
      <c r="C11" s="240"/>
      <c r="E11" s="49" t="s">
        <v>79</v>
      </c>
      <c r="F11" s="2">
        <v>-683</v>
      </c>
      <c r="G11" s="2">
        <v>-81</v>
      </c>
      <c r="H11" s="2">
        <v>-69</v>
      </c>
      <c r="I11" s="2">
        <v>132</v>
      </c>
      <c r="J11" s="2">
        <v>241</v>
      </c>
      <c r="K11" s="2">
        <v>466</v>
      </c>
      <c r="L11" s="2">
        <v>-302</v>
      </c>
      <c r="M11" s="2">
        <v>729</v>
      </c>
      <c r="N11" s="2">
        <v>143</v>
      </c>
      <c r="O11" s="2">
        <v>-261</v>
      </c>
      <c r="P11" s="2">
        <v>-389</v>
      </c>
      <c r="Q11" s="2">
        <v>941</v>
      </c>
      <c r="R11" s="2">
        <v>-152</v>
      </c>
      <c r="S11" s="2">
        <v>84</v>
      </c>
      <c r="T11" s="2">
        <v>-225</v>
      </c>
      <c r="U11" s="2">
        <v>587</v>
      </c>
      <c r="V11" s="2">
        <v>-221</v>
      </c>
      <c r="W11" s="2">
        <v>-194</v>
      </c>
      <c r="X11" s="2">
        <v>-103</v>
      </c>
      <c r="Y11" s="2">
        <v>628</v>
      </c>
      <c r="Z11" s="2">
        <v>-143</v>
      </c>
      <c r="AA11" s="2">
        <v>-177</v>
      </c>
      <c r="AB11" s="2">
        <v>-147</v>
      </c>
      <c r="AC11" s="2">
        <v>924</v>
      </c>
      <c r="AD11" s="2">
        <v>-62</v>
      </c>
      <c r="AE11" s="2">
        <v>-95</v>
      </c>
      <c r="AF11" s="2">
        <v>-129</v>
      </c>
      <c r="AG11" s="2">
        <v>2141</v>
      </c>
      <c r="AH11" s="106">
        <v>-200</v>
      </c>
      <c r="AI11" s="106">
        <v>851</v>
      </c>
      <c r="AJ11" s="106">
        <v>-240</v>
      </c>
      <c r="AK11" s="106">
        <v>-238</v>
      </c>
      <c r="AL11" s="106">
        <v>-208</v>
      </c>
      <c r="AM11" s="106">
        <v>-114</v>
      </c>
      <c r="AN11" s="106">
        <v>-224</v>
      </c>
      <c r="AO11" s="106">
        <v>-11</v>
      </c>
      <c r="AP11" s="144" t="s">
        <v>30</v>
      </c>
      <c r="AQ11" s="144" t="s">
        <v>30</v>
      </c>
      <c r="AR11" s="144" t="s">
        <v>30</v>
      </c>
      <c r="AS11" s="144" t="s">
        <v>30</v>
      </c>
    </row>
    <row r="12" spans="1:45" ht="12.75">
      <c r="A12" s="240" t="s">
        <v>36</v>
      </c>
      <c r="B12" s="240"/>
      <c r="C12" s="240"/>
      <c r="E12" s="114" t="s">
        <v>419</v>
      </c>
      <c r="F12" s="2">
        <v>20</v>
      </c>
      <c r="G12" s="2">
        <v>15</v>
      </c>
      <c r="H12" s="2">
        <v>36</v>
      </c>
      <c r="I12" s="2">
        <v>-189</v>
      </c>
      <c r="J12" s="2">
        <v>-166</v>
      </c>
      <c r="K12" s="2">
        <v>-37</v>
      </c>
      <c r="L12" s="2">
        <v>-5</v>
      </c>
      <c r="M12" s="2">
        <v>-31</v>
      </c>
      <c r="N12" s="2">
        <v>0</v>
      </c>
      <c r="O12" s="2">
        <v>4</v>
      </c>
      <c r="P12" s="2">
        <v>7</v>
      </c>
      <c r="Q12" s="2">
        <v>7</v>
      </c>
      <c r="R12" s="2">
        <v>7</v>
      </c>
      <c r="S12" s="2">
        <v>26</v>
      </c>
      <c r="T12" s="2">
        <v>21</v>
      </c>
      <c r="U12" s="2">
        <v>23</v>
      </c>
      <c r="V12" s="2">
        <v>-58</v>
      </c>
      <c r="W12" s="2">
        <v>-103</v>
      </c>
      <c r="X12" s="2">
        <v>4</v>
      </c>
      <c r="Y12" s="2">
        <v>-21</v>
      </c>
      <c r="Z12" s="2">
        <v>-104</v>
      </c>
      <c r="AA12" s="2">
        <v>9</v>
      </c>
      <c r="AB12" s="2">
        <v>95</v>
      </c>
      <c r="AC12" s="2">
        <v>81</v>
      </c>
      <c r="AD12" s="2">
        <v>80</v>
      </c>
      <c r="AE12" s="2">
        <v>76</v>
      </c>
      <c r="AF12" s="2">
        <v>112</v>
      </c>
      <c r="AG12" s="2">
        <v>-46</v>
      </c>
      <c r="AH12" s="106">
        <v>89</v>
      </c>
      <c r="AI12" s="106">
        <v>34</v>
      </c>
      <c r="AJ12" s="106">
        <v>27</v>
      </c>
      <c r="AK12" s="106">
        <v>-57</v>
      </c>
      <c r="AL12" s="106">
        <v>90</v>
      </c>
      <c r="AM12" s="106">
        <v>105</v>
      </c>
      <c r="AN12" s="106">
        <v>140</v>
      </c>
      <c r="AO12" s="106">
        <v>39</v>
      </c>
      <c r="AP12" s="106">
        <v>70</v>
      </c>
      <c r="AQ12" s="106">
        <v>238</v>
      </c>
      <c r="AR12" s="106">
        <v>38</v>
      </c>
      <c r="AS12" s="106">
        <v>-9</v>
      </c>
    </row>
    <row r="13" spans="1:45" ht="12.75">
      <c r="A13" s="240" t="s">
        <v>36</v>
      </c>
      <c r="B13" s="240"/>
      <c r="C13" s="240"/>
      <c r="E13" s="93" t="s">
        <v>80</v>
      </c>
      <c r="F13" s="2">
        <v>-128</v>
      </c>
      <c r="G13" s="2">
        <v>-70</v>
      </c>
      <c r="H13" s="2">
        <v>-14</v>
      </c>
      <c r="I13" s="2">
        <v>-59</v>
      </c>
      <c r="J13" s="2">
        <v>-311</v>
      </c>
      <c r="K13" s="2">
        <v>-72</v>
      </c>
      <c r="L13" s="2">
        <v>15</v>
      </c>
      <c r="M13" s="2">
        <v>-361</v>
      </c>
      <c r="N13" s="2">
        <v>-42</v>
      </c>
      <c r="O13" s="2">
        <v>-181</v>
      </c>
      <c r="P13" s="2">
        <v>3</v>
      </c>
      <c r="Q13" s="2">
        <v>-128</v>
      </c>
      <c r="R13" s="2">
        <v>9</v>
      </c>
      <c r="S13" s="2">
        <v>18</v>
      </c>
      <c r="T13" s="2">
        <v>-22</v>
      </c>
      <c r="U13" s="2">
        <v>-77</v>
      </c>
      <c r="V13" s="2">
        <v>-33</v>
      </c>
      <c r="W13" s="2">
        <v>-43</v>
      </c>
      <c r="X13" s="2">
        <v>106</v>
      </c>
      <c r="Y13" s="2">
        <v>-244</v>
      </c>
      <c r="Z13" s="2">
        <v>-102</v>
      </c>
      <c r="AA13" s="2">
        <v>-184</v>
      </c>
      <c r="AB13" s="2">
        <v>-164</v>
      </c>
      <c r="AC13" s="2">
        <v>-223</v>
      </c>
      <c r="AD13" s="2">
        <v>-80</v>
      </c>
      <c r="AE13" s="2">
        <v>-200</v>
      </c>
      <c r="AF13" s="2">
        <v>-138</v>
      </c>
      <c r="AG13" s="2">
        <v>-122</v>
      </c>
      <c r="AH13" s="106">
        <v>-105</v>
      </c>
      <c r="AI13" s="106">
        <v>-211</v>
      </c>
      <c r="AJ13" s="106">
        <v>-104</v>
      </c>
      <c r="AK13" s="106">
        <v>-68</v>
      </c>
      <c r="AL13" s="106">
        <v>-16</v>
      </c>
      <c r="AM13" s="106">
        <v>-107</v>
      </c>
      <c r="AN13" s="106">
        <v>-101</v>
      </c>
      <c r="AO13" s="106">
        <v>-289</v>
      </c>
      <c r="AP13" s="106">
        <v>-61</v>
      </c>
      <c r="AQ13" s="106">
        <v>-117</v>
      </c>
      <c r="AR13" s="106">
        <v>-52</v>
      </c>
      <c r="AS13" s="106">
        <v>-284</v>
      </c>
    </row>
    <row r="14" spans="1:45" ht="12.75">
      <c r="A14" s="240" t="s">
        <v>36</v>
      </c>
      <c r="B14" s="240"/>
      <c r="C14" s="240"/>
      <c r="E14" s="93" t="s">
        <v>81</v>
      </c>
      <c r="F14" s="2">
        <v>-118</v>
      </c>
      <c r="G14" s="2">
        <v>-280</v>
      </c>
      <c r="H14" s="2">
        <v>-142</v>
      </c>
      <c r="I14" s="2">
        <v>-275</v>
      </c>
      <c r="J14" s="2">
        <v>-308</v>
      </c>
      <c r="K14" s="2">
        <v>-209</v>
      </c>
      <c r="L14" s="2">
        <v>-129</v>
      </c>
      <c r="M14" s="2">
        <v>-272</v>
      </c>
      <c r="N14" s="2">
        <v>-256</v>
      </c>
      <c r="O14" s="2">
        <v>-234</v>
      </c>
      <c r="P14" s="2">
        <v>-111</v>
      </c>
      <c r="Q14" s="2">
        <v>-328</v>
      </c>
      <c r="R14" s="2">
        <v>226</v>
      </c>
      <c r="S14" s="2">
        <v>-178</v>
      </c>
      <c r="T14" s="2">
        <v>-884</v>
      </c>
      <c r="U14" s="2">
        <v>-480</v>
      </c>
      <c r="V14" s="2">
        <v>-382</v>
      </c>
      <c r="W14" s="2">
        <v>-570</v>
      </c>
      <c r="X14" s="2">
        <v>-227</v>
      </c>
      <c r="Y14" s="2">
        <v>-446</v>
      </c>
      <c r="Z14" s="2">
        <v>-575</v>
      </c>
      <c r="AA14" s="2">
        <v>-382</v>
      </c>
      <c r="AB14" s="2">
        <v>-142</v>
      </c>
      <c r="AC14" s="2">
        <v>-465</v>
      </c>
      <c r="AD14" s="2">
        <v>-263</v>
      </c>
      <c r="AE14" s="2">
        <v>-200</v>
      </c>
      <c r="AF14" s="2">
        <v>-475</v>
      </c>
      <c r="AG14" s="2">
        <v>-405</v>
      </c>
      <c r="AH14" s="106">
        <v>-226</v>
      </c>
      <c r="AI14" s="106">
        <v>-276</v>
      </c>
      <c r="AJ14" s="106">
        <v>-99</v>
      </c>
      <c r="AK14" s="106">
        <v>-384</v>
      </c>
      <c r="AL14" s="106">
        <v>-281</v>
      </c>
      <c r="AM14" s="106">
        <v>-420</v>
      </c>
      <c r="AN14" s="106">
        <v>-157</v>
      </c>
      <c r="AO14" s="106">
        <v>-419</v>
      </c>
      <c r="AP14" s="106">
        <v>-201</v>
      </c>
      <c r="AQ14" s="106">
        <v>-430</v>
      </c>
      <c r="AR14" s="106">
        <v>-224</v>
      </c>
      <c r="AS14" s="106">
        <v>-339</v>
      </c>
    </row>
    <row r="15" spans="1:45" ht="12.75">
      <c r="A15" s="240" t="s">
        <v>37</v>
      </c>
      <c r="B15" s="240" t="s">
        <v>39</v>
      </c>
      <c r="C15" s="240"/>
      <c r="E15" s="119" t="s">
        <v>82</v>
      </c>
      <c r="F15" s="1">
        <v>540</v>
      </c>
      <c r="G15" s="1">
        <v>1166</v>
      </c>
      <c r="H15" s="1">
        <v>1586</v>
      </c>
      <c r="I15" s="1">
        <v>2016</v>
      </c>
      <c r="J15" s="1">
        <v>140</v>
      </c>
      <c r="K15" s="1">
        <v>1097</v>
      </c>
      <c r="L15" s="1">
        <v>1615</v>
      </c>
      <c r="M15" s="1">
        <v>594</v>
      </c>
      <c r="N15" s="1">
        <v>330</v>
      </c>
      <c r="O15" s="1">
        <v>1266</v>
      </c>
      <c r="P15" s="1">
        <v>2611</v>
      </c>
      <c r="Q15" s="1">
        <v>2171</v>
      </c>
      <c r="R15" s="1">
        <v>2137</v>
      </c>
      <c r="S15" s="1">
        <v>2069</v>
      </c>
      <c r="T15" s="1">
        <v>1681</v>
      </c>
      <c r="U15" s="1">
        <v>1854</v>
      </c>
      <c r="V15" s="1">
        <v>763</v>
      </c>
      <c r="W15" s="1">
        <v>641</v>
      </c>
      <c r="X15" s="1">
        <v>1632</v>
      </c>
      <c r="Y15" s="1">
        <v>1247</v>
      </c>
      <c r="Z15" s="1">
        <v>803</v>
      </c>
      <c r="AA15" s="1">
        <v>1204</v>
      </c>
      <c r="AB15" s="1">
        <v>1874</v>
      </c>
      <c r="AC15" s="1">
        <v>1671</v>
      </c>
      <c r="AD15" s="1">
        <v>1135</v>
      </c>
      <c r="AE15" s="1">
        <v>1427</v>
      </c>
      <c r="AF15" s="1">
        <v>1294</v>
      </c>
      <c r="AG15" s="1">
        <v>1274</v>
      </c>
      <c r="AH15" s="130">
        <v>1157</v>
      </c>
      <c r="AI15" s="130">
        <v>1374</v>
      </c>
      <c r="AJ15" s="130">
        <v>1923</v>
      </c>
      <c r="AK15" s="130">
        <v>1591</v>
      </c>
      <c r="AL15" s="130">
        <v>1061</v>
      </c>
      <c r="AM15" s="130">
        <v>1401</v>
      </c>
      <c r="AN15" s="130">
        <v>2144</v>
      </c>
      <c r="AO15" s="130">
        <v>98</v>
      </c>
      <c r="AP15" s="130">
        <v>2058</v>
      </c>
      <c r="AQ15" s="130">
        <v>2160</v>
      </c>
      <c r="AR15" s="130">
        <v>2590</v>
      </c>
      <c r="AS15" s="130">
        <v>2029</v>
      </c>
    </row>
    <row r="16" spans="1:45" ht="12.75">
      <c r="A16" s="240" t="s">
        <v>38</v>
      </c>
      <c r="B16" s="240"/>
      <c r="C16" s="240"/>
      <c r="E16" s="93"/>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106"/>
      <c r="AI16" s="106"/>
      <c r="AJ16" s="106"/>
      <c r="AK16" s="106"/>
      <c r="AL16" s="106"/>
      <c r="AM16" s="106"/>
      <c r="AN16" s="106"/>
      <c r="AO16" s="106"/>
      <c r="AP16" s="106"/>
      <c r="AQ16" s="106"/>
      <c r="AR16" s="106"/>
      <c r="AS16" s="106"/>
    </row>
    <row r="17" spans="1:45" ht="12.75">
      <c r="A17" s="240" t="s">
        <v>35</v>
      </c>
      <c r="B17" s="240"/>
      <c r="C17" s="240"/>
      <c r="E17" s="119" t="s">
        <v>83</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106"/>
      <c r="AI17" s="106"/>
      <c r="AJ17" s="106"/>
      <c r="AK17" s="106"/>
      <c r="AL17" s="106"/>
      <c r="AM17" s="106"/>
      <c r="AN17" s="106"/>
      <c r="AO17" s="106"/>
      <c r="AP17" s="106"/>
      <c r="AQ17" s="106"/>
      <c r="AR17" s="106"/>
      <c r="AS17" s="106"/>
    </row>
    <row r="18" spans="1:45" ht="12.75">
      <c r="A18" s="240" t="s">
        <v>36</v>
      </c>
      <c r="B18" s="240"/>
      <c r="C18" s="240"/>
      <c r="E18" s="93" t="s">
        <v>84</v>
      </c>
      <c r="F18" s="2">
        <v>-1545</v>
      </c>
      <c r="G18" s="2">
        <v>-246</v>
      </c>
      <c r="H18" s="2">
        <v>209</v>
      </c>
      <c r="I18" s="2">
        <v>1376</v>
      </c>
      <c r="J18" s="2">
        <v>-697</v>
      </c>
      <c r="K18" s="2">
        <v>-479</v>
      </c>
      <c r="L18" s="2">
        <v>-66</v>
      </c>
      <c r="M18" s="2">
        <v>2165</v>
      </c>
      <c r="N18" s="2">
        <v>14</v>
      </c>
      <c r="O18" s="2">
        <v>529</v>
      </c>
      <c r="P18" s="2">
        <v>462</v>
      </c>
      <c r="Q18" s="2">
        <v>1271</v>
      </c>
      <c r="R18" s="2">
        <v>-1134</v>
      </c>
      <c r="S18" s="2">
        <v>-1278</v>
      </c>
      <c r="T18" s="2">
        <v>-433</v>
      </c>
      <c r="U18" s="2">
        <v>1090</v>
      </c>
      <c r="V18" s="2">
        <v>-1076</v>
      </c>
      <c r="W18" s="2">
        <v>-583</v>
      </c>
      <c r="X18" s="2">
        <v>279</v>
      </c>
      <c r="Y18" s="2">
        <v>1649</v>
      </c>
      <c r="Z18" s="2">
        <v>-908</v>
      </c>
      <c r="AA18" s="2">
        <v>-1289</v>
      </c>
      <c r="AB18" s="2">
        <v>-506</v>
      </c>
      <c r="AC18" s="2">
        <v>993</v>
      </c>
      <c r="AD18" s="2">
        <v>-1156</v>
      </c>
      <c r="AE18" s="2">
        <v>30</v>
      </c>
      <c r="AF18" s="2">
        <v>-15</v>
      </c>
      <c r="AG18" s="2">
        <v>1306</v>
      </c>
      <c r="AH18" s="106">
        <v>-1457</v>
      </c>
      <c r="AI18" s="106">
        <v>-419</v>
      </c>
      <c r="AJ18" s="106">
        <v>-573</v>
      </c>
      <c r="AK18" s="106">
        <v>1520</v>
      </c>
      <c r="AL18" s="106">
        <v>-984</v>
      </c>
      <c r="AM18" s="106">
        <v>42</v>
      </c>
      <c r="AN18" s="106">
        <v>-746</v>
      </c>
      <c r="AO18" s="106">
        <v>1382</v>
      </c>
      <c r="AP18" s="106">
        <v>-1420</v>
      </c>
      <c r="AQ18" s="106">
        <v>27</v>
      </c>
      <c r="AR18" s="106">
        <v>1062</v>
      </c>
      <c r="AS18" s="106">
        <v>1824</v>
      </c>
    </row>
    <row r="19" spans="1:45" ht="12.75">
      <c r="A19" s="240" t="s">
        <v>36</v>
      </c>
      <c r="B19" s="240"/>
      <c r="C19" s="240"/>
      <c r="E19" s="93" t="s">
        <v>85</v>
      </c>
      <c r="F19" s="2">
        <v>1108</v>
      </c>
      <c r="G19" s="2">
        <v>-405</v>
      </c>
      <c r="H19" s="2">
        <v>-583</v>
      </c>
      <c r="I19" s="2">
        <v>873</v>
      </c>
      <c r="J19" s="2">
        <v>782</v>
      </c>
      <c r="K19" s="2">
        <v>-579</v>
      </c>
      <c r="L19" s="2">
        <v>-619</v>
      </c>
      <c r="M19" s="2">
        <v>2285</v>
      </c>
      <c r="N19" s="2">
        <v>570</v>
      </c>
      <c r="O19" s="2">
        <v>-8</v>
      </c>
      <c r="P19" s="2">
        <v>-806</v>
      </c>
      <c r="Q19" s="2">
        <v>1453</v>
      </c>
      <c r="R19" s="2">
        <v>-535</v>
      </c>
      <c r="S19" s="2">
        <v>115</v>
      </c>
      <c r="T19" s="2">
        <v>77</v>
      </c>
      <c r="U19" s="2">
        <v>127</v>
      </c>
      <c r="V19" s="2">
        <v>625</v>
      </c>
      <c r="W19" s="2">
        <v>980</v>
      </c>
      <c r="X19" s="2">
        <v>-958</v>
      </c>
      <c r="Y19" s="2">
        <v>-403</v>
      </c>
      <c r="Z19" s="2">
        <v>860</v>
      </c>
      <c r="AA19" s="2">
        <v>287</v>
      </c>
      <c r="AB19" s="2">
        <v>-831</v>
      </c>
      <c r="AC19" s="2">
        <v>-435</v>
      </c>
      <c r="AD19" s="2">
        <v>-42</v>
      </c>
      <c r="AE19" s="2">
        <v>-983</v>
      </c>
      <c r="AF19" s="2">
        <v>67</v>
      </c>
      <c r="AG19" s="2">
        <v>-974</v>
      </c>
      <c r="AH19" s="106">
        <v>1383</v>
      </c>
      <c r="AI19" s="106">
        <v>1268</v>
      </c>
      <c r="AJ19" s="106">
        <v>-735</v>
      </c>
      <c r="AK19" s="106">
        <v>-1721</v>
      </c>
      <c r="AL19" s="106">
        <v>1805</v>
      </c>
      <c r="AM19" s="106">
        <v>123</v>
      </c>
      <c r="AN19" s="106">
        <v>-384</v>
      </c>
      <c r="AO19" s="106">
        <v>128</v>
      </c>
      <c r="AP19" s="106">
        <v>752</v>
      </c>
      <c r="AQ19" s="106">
        <v>11</v>
      </c>
      <c r="AR19" s="106">
        <v>-527</v>
      </c>
      <c r="AS19" s="106">
        <v>-703</v>
      </c>
    </row>
    <row r="20" spans="1:45" ht="12.75">
      <c r="A20" s="240" t="s">
        <v>36</v>
      </c>
      <c r="B20" s="240"/>
      <c r="C20" s="240"/>
      <c r="E20" s="93" t="s">
        <v>86</v>
      </c>
      <c r="F20" s="2">
        <v>194</v>
      </c>
      <c r="G20" s="2">
        <v>-118</v>
      </c>
      <c r="H20" s="2">
        <v>-481</v>
      </c>
      <c r="I20" s="2">
        <v>-480</v>
      </c>
      <c r="J20" s="2">
        <v>101</v>
      </c>
      <c r="K20" s="2">
        <v>1397</v>
      </c>
      <c r="L20" s="2">
        <v>-550</v>
      </c>
      <c r="M20" s="2">
        <v>-1634</v>
      </c>
      <c r="N20" s="2">
        <v>-414</v>
      </c>
      <c r="O20" s="2">
        <v>1351</v>
      </c>
      <c r="P20" s="2">
        <v>517</v>
      </c>
      <c r="Q20" s="2">
        <v>-826</v>
      </c>
      <c r="R20" s="2">
        <v>343</v>
      </c>
      <c r="S20" s="2">
        <v>2953</v>
      </c>
      <c r="T20" s="2">
        <v>-183</v>
      </c>
      <c r="U20" s="2">
        <v>-489</v>
      </c>
      <c r="V20" s="2">
        <v>-106</v>
      </c>
      <c r="W20" s="2">
        <v>1439</v>
      </c>
      <c r="X20" s="2">
        <v>278</v>
      </c>
      <c r="Y20" s="2">
        <v>-232</v>
      </c>
      <c r="Z20" s="2">
        <v>-90</v>
      </c>
      <c r="AA20" s="2">
        <v>2946</v>
      </c>
      <c r="AB20" s="2">
        <v>-66</v>
      </c>
      <c r="AC20" s="2">
        <v>296</v>
      </c>
      <c r="AD20" s="2">
        <v>-897</v>
      </c>
      <c r="AE20" s="2">
        <v>1896</v>
      </c>
      <c r="AF20" s="2">
        <v>-173</v>
      </c>
      <c r="AG20" s="2">
        <v>-217</v>
      </c>
      <c r="AH20" s="106">
        <v>663</v>
      </c>
      <c r="AI20" s="106">
        <v>647</v>
      </c>
      <c r="AJ20" s="106">
        <v>993</v>
      </c>
      <c r="AK20" s="106">
        <v>857</v>
      </c>
      <c r="AL20" s="106">
        <v>-557</v>
      </c>
      <c r="AM20" s="106">
        <v>1395</v>
      </c>
      <c r="AN20" s="106">
        <v>1202</v>
      </c>
      <c r="AO20" s="106">
        <v>-242</v>
      </c>
      <c r="AP20" s="106">
        <v>-709</v>
      </c>
      <c r="AQ20" s="106">
        <v>1300</v>
      </c>
      <c r="AR20" s="106">
        <v>-768</v>
      </c>
      <c r="AS20" s="106">
        <v>249</v>
      </c>
    </row>
    <row r="21" spans="1:45" ht="12.75">
      <c r="A21" s="240" t="s">
        <v>36</v>
      </c>
      <c r="B21" s="240"/>
      <c r="C21" s="240"/>
      <c r="E21" s="93" t="s">
        <v>359</v>
      </c>
      <c r="F21" s="2">
        <v>0</v>
      </c>
      <c r="G21" s="2">
        <v>0</v>
      </c>
      <c r="H21" s="2">
        <v>0</v>
      </c>
      <c r="I21" s="2">
        <v>0</v>
      </c>
      <c r="J21" s="2">
        <v>0</v>
      </c>
      <c r="K21" s="2">
        <v>0</v>
      </c>
      <c r="L21" s="2">
        <v>0</v>
      </c>
      <c r="M21" s="2">
        <v>0</v>
      </c>
      <c r="N21" s="2">
        <v>0</v>
      </c>
      <c r="O21" s="2">
        <v>0</v>
      </c>
      <c r="P21" s="2">
        <v>0</v>
      </c>
      <c r="Q21" s="2">
        <v>-3935</v>
      </c>
      <c r="R21" s="2">
        <v>0</v>
      </c>
      <c r="S21" s="2">
        <v>0</v>
      </c>
      <c r="T21" s="2">
        <v>0</v>
      </c>
      <c r="U21" s="2">
        <v>0</v>
      </c>
      <c r="V21" s="2">
        <v>0</v>
      </c>
      <c r="W21" s="2">
        <v>0</v>
      </c>
      <c r="X21" s="2">
        <v>0</v>
      </c>
      <c r="Y21" s="2">
        <v>0</v>
      </c>
      <c r="Z21" s="2">
        <v>0</v>
      </c>
      <c r="AA21" s="2">
        <v>0</v>
      </c>
      <c r="AB21" s="2">
        <v>0</v>
      </c>
      <c r="AC21" s="2">
        <v>0</v>
      </c>
      <c r="AD21" s="2">
        <v>0</v>
      </c>
      <c r="AE21" s="2">
        <v>0</v>
      </c>
      <c r="AF21" s="2">
        <v>0</v>
      </c>
      <c r="AG21" s="2">
        <v>0</v>
      </c>
      <c r="AH21" s="106">
        <v>0</v>
      </c>
      <c r="AI21" s="106">
        <v>0</v>
      </c>
      <c r="AJ21" s="106">
        <v>0</v>
      </c>
      <c r="AK21" s="106">
        <v>0</v>
      </c>
      <c r="AL21" s="106">
        <v>0</v>
      </c>
      <c r="AM21" s="106">
        <v>0</v>
      </c>
      <c r="AN21" s="106">
        <v>0</v>
      </c>
      <c r="AO21" s="106">
        <v>0</v>
      </c>
      <c r="AP21" s="106">
        <v>0</v>
      </c>
      <c r="AQ21" s="106">
        <v>0</v>
      </c>
      <c r="AR21" s="106">
        <v>0</v>
      </c>
      <c r="AS21" s="106">
        <v>0</v>
      </c>
    </row>
    <row r="22" spans="1:45" ht="12.75">
      <c r="A22" s="240" t="s">
        <v>36</v>
      </c>
      <c r="B22" s="240"/>
      <c r="C22" s="240"/>
      <c r="E22" s="114" t="s">
        <v>420</v>
      </c>
      <c r="F22" s="2">
        <v>-32</v>
      </c>
      <c r="G22" s="2">
        <v>78</v>
      </c>
      <c r="H22" s="2">
        <v>930</v>
      </c>
      <c r="I22" s="2">
        <v>-1030</v>
      </c>
      <c r="J22" s="2">
        <v>-365</v>
      </c>
      <c r="K22" s="2">
        <v>575</v>
      </c>
      <c r="L22" s="2">
        <v>377</v>
      </c>
      <c r="M22" s="2">
        <v>-1190</v>
      </c>
      <c r="N22" s="2">
        <v>139</v>
      </c>
      <c r="O22" s="2">
        <v>938</v>
      </c>
      <c r="P22" s="2">
        <v>1157</v>
      </c>
      <c r="Q22" s="2">
        <v>-493</v>
      </c>
      <c r="R22" s="2">
        <v>-20</v>
      </c>
      <c r="S22" s="2">
        <v>-17</v>
      </c>
      <c r="T22" s="2">
        <v>106</v>
      </c>
      <c r="U22" s="2">
        <v>-783</v>
      </c>
      <c r="V22" s="2">
        <v>-731</v>
      </c>
      <c r="W22" s="2">
        <v>-569</v>
      </c>
      <c r="X22" s="2">
        <v>1075</v>
      </c>
      <c r="Y22" s="2">
        <v>-551</v>
      </c>
      <c r="Z22" s="2">
        <v>-382</v>
      </c>
      <c r="AA22" s="2">
        <v>849</v>
      </c>
      <c r="AB22" s="2">
        <v>221</v>
      </c>
      <c r="AC22" s="2">
        <v>-417</v>
      </c>
      <c r="AD22" s="2">
        <v>-1349</v>
      </c>
      <c r="AE22" s="2">
        <v>821</v>
      </c>
      <c r="AF22" s="2">
        <v>289</v>
      </c>
      <c r="AG22" s="2">
        <v>722</v>
      </c>
      <c r="AH22" s="106">
        <v>-1749</v>
      </c>
      <c r="AI22" s="106">
        <v>461</v>
      </c>
      <c r="AJ22" s="106">
        <v>437</v>
      </c>
      <c r="AK22" s="106">
        <v>202</v>
      </c>
      <c r="AL22" s="106">
        <v>-1418</v>
      </c>
      <c r="AM22" s="106">
        <v>465</v>
      </c>
      <c r="AN22" s="106">
        <v>1323</v>
      </c>
      <c r="AO22" s="106">
        <v>29</v>
      </c>
      <c r="AP22" s="106">
        <v>-994</v>
      </c>
      <c r="AQ22" s="106">
        <v>517</v>
      </c>
      <c r="AR22" s="106">
        <v>1081</v>
      </c>
      <c r="AS22" s="106">
        <v>-374</v>
      </c>
    </row>
    <row r="23" spans="1:45" s="90" customFormat="1" ht="12.75">
      <c r="A23" s="243" t="s">
        <v>37</v>
      </c>
      <c r="B23" s="240" t="s">
        <v>39</v>
      </c>
      <c r="C23" s="243"/>
      <c r="E23" s="159" t="s">
        <v>87</v>
      </c>
      <c r="F23" s="14">
        <v>-275</v>
      </c>
      <c r="G23" s="14">
        <v>-691</v>
      </c>
      <c r="H23" s="14">
        <v>75</v>
      </c>
      <c r="I23" s="14">
        <v>739</v>
      </c>
      <c r="J23" s="14">
        <v>-179</v>
      </c>
      <c r="K23" s="14">
        <v>914</v>
      </c>
      <c r="L23" s="14">
        <v>-858</v>
      </c>
      <c r="M23" s="14">
        <v>1626</v>
      </c>
      <c r="N23" s="14">
        <v>309</v>
      </c>
      <c r="O23" s="14">
        <v>2810</v>
      </c>
      <c r="P23" s="14">
        <v>1330</v>
      </c>
      <c r="Q23" s="14">
        <v>-2530</v>
      </c>
      <c r="R23" s="14">
        <v>-1346</v>
      </c>
      <c r="S23" s="14">
        <v>1773</v>
      </c>
      <c r="T23" s="14">
        <v>-433</v>
      </c>
      <c r="U23" s="14">
        <v>-55</v>
      </c>
      <c r="V23" s="14">
        <v>-1288</v>
      </c>
      <c r="W23" s="14">
        <v>1267</v>
      </c>
      <c r="X23" s="14">
        <v>674</v>
      </c>
      <c r="Y23" s="14">
        <v>463</v>
      </c>
      <c r="Z23" s="14">
        <v>-520</v>
      </c>
      <c r="AA23" s="14">
        <v>2793</v>
      </c>
      <c r="AB23" s="14">
        <v>-1182</v>
      </c>
      <c r="AC23" s="14">
        <v>437</v>
      </c>
      <c r="AD23" s="14">
        <v>-3444</v>
      </c>
      <c r="AE23" s="14">
        <v>1764</v>
      </c>
      <c r="AF23" s="14">
        <v>168</v>
      </c>
      <c r="AG23" s="14">
        <v>837</v>
      </c>
      <c r="AH23" s="130">
        <v>-1160</v>
      </c>
      <c r="AI23" s="130">
        <v>1957</v>
      </c>
      <c r="AJ23" s="130">
        <v>122</v>
      </c>
      <c r="AK23" s="130">
        <v>858</v>
      </c>
      <c r="AL23" s="130">
        <v>-1154</v>
      </c>
      <c r="AM23" s="130">
        <v>2025</v>
      </c>
      <c r="AN23" s="130">
        <v>1395</v>
      </c>
      <c r="AO23" s="130">
        <v>1297</v>
      </c>
      <c r="AP23" s="130">
        <v>-2371</v>
      </c>
      <c r="AQ23" s="130">
        <v>1855</v>
      </c>
      <c r="AR23" s="130">
        <v>848</v>
      </c>
      <c r="AS23" s="130">
        <v>996</v>
      </c>
    </row>
    <row r="24" spans="1:45" ht="12.75">
      <c r="A24" s="240" t="s">
        <v>37</v>
      </c>
      <c r="B24" s="255" t="s">
        <v>285</v>
      </c>
      <c r="C24" s="240"/>
      <c r="E24" s="119" t="s">
        <v>88</v>
      </c>
      <c r="F24" s="1">
        <v>265</v>
      </c>
      <c r="G24" s="1">
        <v>475</v>
      </c>
      <c r="H24" s="1">
        <v>1661</v>
      </c>
      <c r="I24" s="1">
        <v>2755</v>
      </c>
      <c r="J24" s="1">
        <v>-39</v>
      </c>
      <c r="K24" s="1">
        <v>2011</v>
      </c>
      <c r="L24" s="1">
        <v>757</v>
      </c>
      <c r="M24" s="1">
        <v>2220</v>
      </c>
      <c r="N24" s="1">
        <v>639</v>
      </c>
      <c r="O24" s="1">
        <v>4076</v>
      </c>
      <c r="P24" s="1">
        <v>3941</v>
      </c>
      <c r="Q24" s="1">
        <v>-359</v>
      </c>
      <c r="R24" s="1">
        <v>791</v>
      </c>
      <c r="S24" s="1">
        <v>3842</v>
      </c>
      <c r="T24" s="1">
        <v>1248</v>
      </c>
      <c r="U24" s="1">
        <v>1799</v>
      </c>
      <c r="V24" s="1">
        <v>-525</v>
      </c>
      <c r="W24" s="1">
        <v>1908</v>
      </c>
      <c r="X24" s="1">
        <v>2306</v>
      </c>
      <c r="Y24" s="1">
        <v>1710</v>
      </c>
      <c r="Z24" s="1">
        <v>283</v>
      </c>
      <c r="AA24" s="1">
        <v>3997</v>
      </c>
      <c r="AB24" s="1">
        <v>692</v>
      </c>
      <c r="AC24" s="1">
        <v>2108</v>
      </c>
      <c r="AD24" s="1">
        <v>-2309</v>
      </c>
      <c r="AE24" s="1">
        <v>3191</v>
      </c>
      <c r="AF24" s="1">
        <v>1462</v>
      </c>
      <c r="AG24" s="1">
        <v>2111</v>
      </c>
      <c r="AH24" s="130">
        <v>-3</v>
      </c>
      <c r="AI24" s="130">
        <v>3331</v>
      </c>
      <c r="AJ24" s="130">
        <v>2045</v>
      </c>
      <c r="AK24" s="130">
        <v>2449</v>
      </c>
      <c r="AL24" s="130">
        <v>-93</v>
      </c>
      <c r="AM24" s="130">
        <v>3426</v>
      </c>
      <c r="AN24" s="130">
        <v>3539</v>
      </c>
      <c r="AO24" s="130">
        <v>1395</v>
      </c>
      <c r="AP24" s="130">
        <v>-313</v>
      </c>
      <c r="AQ24" s="130">
        <v>4015</v>
      </c>
      <c r="AR24" s="130">
        <v>3438</v>
      </c>
      <c r="AS24" s="130">
        <v>3025</v>
      </c>
    </row>
    <row r="25" spans="1:45" ht="12.75">
      <c r="A25" s="240" t="s">
        <v>38</v>
      </c>
      <c r="B25" s="240"/>
      <c r="C25" s="240"/>
      <c r="E25" s="9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06"/>
      <c r="AI25" s="106"/>
      <c r="AJ25" s="106"/>
      <c r="AK25" s="106"/>
      <c r="AL25" s="106"/>
      <c r="AM25" s="106"/>
      <c r="AN25" s="106"/>
      <c r="AO25" s="106"/>
      <c r="AP25" s="106"/>
      <c r="AQ25" s="106"/>
      <c r="AR25" s="106"/>
      <c r="AS25" s="106"/>
    </row>
    <row r="26" spans="1:45" ht="12.75">
      <c r="A26" s="243" t="s">
        <v>35</v>
      </c>
      <c r="B26" s="240"/>
      <c r="C26" s="240"/>
      <c r="E26" s="119" t="s">
        <v>89</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06"/>
      <c r="AI26" s="106"/>
      <c r="AJ26" s="106"/>
      <c r="AK26" s="106"/>
      <c r="AL26" s="106"/>
      <c r="AM26" s="106"/>
      <c r="AN26" s="106"/>
      <c r="AO26" s="106"/>
      <c r="AP26" s="106"/>
      <c r="AQ26" s="106"/>
      <c r="AR26" s="106"/>
      <c r="AS26" s="106"/>
    </row>
    <row r="27" spans="1:45" ht="12.75">
      <c r="A27" s="240" t="s">
        <v>36</v>
      </c>
      <c r="B27" s="240"/>
      <c r="C27" s="240"/>
      <c r="E27" s="166" t="s">
        <v>399</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-2556</v>
      </c>
      <c r="Y27" s="13">
        <v>-3821</v>
      </c>
      <c r="Z27" s="13">
        <v>-45</v>
      </c>
      <c r="AA27" s="13">
        <v>0</v>
      </c>
      <c r="AB27" s="13">
        <v>-119</v>
      </c>
      <c r="AC27" s="13">
        <v>0</v>
      </c>
      <c r="AD27" s="13">
        <v>-201</v>
      </c>
      <c r="AE27" s="13">
        <v>-1</v>
      </c>
      <c r="AF27" s="13">
        <v>0</v>
      </c>
      <c r="AG27" s="13">
        <v>-3</v>
      </c>
      <c r="AH27" s="106">
        <v>-1</v>
      </c>
      <c r="AI27" s="106">
        <v>0</v>
      </c>
      <c r="AJ27" s="106">
        <v>-67</v>
      </c>
      <c r="AK27" s="106">
        <v>-1</v>
      </c>
      <c r="AL27" s="106">
        <v>0</v>
      </c>
      <c r="AM27" s="106">
        <v>-78</v>
      </c>
      <c r="AN27" s="106">
        <v>-13</v>
      </c>
      <c r="AO27" s="106">
        <v>0</v>
      </c>
      <c r="AP27" s="106">
        <v>-3</v>
      </c>
      <c r="AQ27" s="106">
        <v>0</v>
      </c>
      <c r="AR27" s="106">
        <v>-134</v>
      </c>
      <c r="AS27" s="106">
        <v>-23</v>
      </c>
    </row>
    <row r="28" spans="1:45" ht="12.75">
      <c r="A28" s="240" t="s">
        <v>36</v>
      </c>
      <c r="B28" s="240"/>
      <c r="C28" s="240"/>
      <c r="E28" s="139" t="s">
        <v>90</v>
      </c>
      <c r="F28" s="2">
        <v>0</v>
      </c>
      <c r="G28" s="2">
        <v>0</v>
      </c>
      <c r="H28" s="2">
        <v>0</v>
      </c>
      <c r="I28" s="2">
        <v>0</v>
      </c>
      <c r="J28" s="2">
        <v>0</v>
      </c>
      <c r="K28" s="2">
        <v>0</v>
      </c>
      <c r="L28" s="2">
        <v>0</v>
      </c>
      <c r="M28" s="2">
        <v>-34</v>
      </c>
      <c r="N28" s="2">
        <v>0</v>
      </c>
      <c r="O28" s="2">
        <v>0</v>
      </c>
      <c r="P28" s="2">
        <v>4</v>
      </c>
      <c r="Q28" s="2">
        <v>0</v>
      </c>
      <c r="R28" s="2">
        <v>0</v>
      </c>
      <c r="S28" s="2">
        <v>0</v>
      </c>
      <c r="T28" s="2">
        <v>7</v>
      </c>
      <c r="U28" s="2">
        <v>0</v>
      </c>
      <c r="V28" s="2">
        <v>105</v>
      </c>
      <c r="W28" s="2">
        <v>103</v>
      </c>
      <c r="X28" s="2">
        <v>5</v>
      </c>
      <c r="Y28" s="2">
        <v>608</v>
      </c>
      <c r="Z28" s="2">
        <v>0</v>
      </c>
      <c r="AA28" s="2">
        <v>0</v>
      </c>
      <c r="AB28" s="2">
        <v>0</v>
      </c>
      <c r="AC28" s="2">
        <v>0</v>
      </c>
      <c r="AD28" s="2">
        <v>0</v>
      </c>
      <c r="AE28" s="2">
        <v>0</v>
      </c>
      <c r="AF28" s="2">
        <v>0</v>
      </c>
      <c r="AG28" s="2">
        <v>0</v>
      </c>
      <c r="AH28" s="106">
        <v>0</v>
      </c>
      <c r="AI28" s="106">
        <v>0</v>
      </c>
      <c r="AJ28" s="106">
        <v>0</v>
      </c>
      <c r="AK28" s="106">
        <v>0</v>
      </c>
      <c r="AL28" s="106">
        <v>0</v>
      </c>
      <c r="AM28" s="106">
        <v>0</v>
      </c>
      <c r="AN28" s="106">
        <v>0</v>
      </c>
      <c r="AO28" s="106">
        <v>0</v>
      </c>
      <c r="AP28" s="106">
        <v>0</v>
      </c>
      <c r="AQ28" s="106">
        <v>0</v>
      </c>
      <c r="AR28" s="106">
        <v>0</v>
      </c>
      <c r="AS28" s="106">
        <v>336</v>
      </c>
    </row>
    <row r="29" spans="1:45" ht="12.75">
      <c r="A29" s="240" t="s">
        <v>36</v>
      </c>
      <c r="B29" s="240"/>
      <c r="C29" s="240"/>
      <c r="E29" s="139" t="s">
        <v>91</v>
      </c>
      <c r="F29" s="2">
        <v>-788</v>
      </c>
      <c r="G29" s="2">
        <v>-932</v>
      </c>
      <c r="H29" s="2">
        <v>-815</v>
      </c>
      <c r="I29" s="2">
        <v>-895</v>
      </c>
      <c r="J29" s="2">
        <v>-497</v>
      </c>
      <c r="K29" s="2">
        <v>-779</v>
      </c>
      <c r="L29" s="2">
        <v>-851</v>
      </c>
      <c r="M29" s="2">
        <v>-1031</v>
      </c>
      <c r="N29" s="2">
        <v>-514</v>
      </c>
      <c r="O29" s="2">
        <v>-404</v>
      </c>
      <c r="P29" s="2">
        <v>-490</v>
      </c>
      <c r="Q29" s="2">
        <v>-815</v>
      </c>
      <c r="R29" s="2">
        <v>-438</v>
      </c>
      <c r="S29" s="2">
        <v>-765</v>
      </c>
      <c r="T29" s="2">
        <v>-858</v>
      </c>
      <c r="U29" s="2">
        <v>-1160</v>
      </c>
      <c r="V29" s="2">
        <v>-540</v>
      </c>
      <c r="W29" s="2">
        <v>-741</v>
      </c>
      <c r="X29" s="2">
        <v>-857</v>
      </c>
      <c r="Y29" s="2">
        <v>-1025</v>
      </c>
      <c r="Z29" s="2">
        <v>-784</v>
      </c>
      <c r="AA29" s="2">
        <v>-1033</v>
      </c>
      <c r="AB29" s="2">
        <v>-998</v>
      </c>
      <c r="AC29" s="2">
        <v>-1275</v>
      </c>
      <c r="AD29" s="2">
        <v>-685</v>
      </c>
      <c r="AE29" s="2">
        <v>-816</v>
      </c>
      <c r="AF29" s="2">
        <v>-845</v>
      </c>
      <c r="AG29" s="2">
        <v>-1189</v>
      </c>
      <c r="AH29" s="106">
        <v>-489</v>
      </c>
      <c r="AI29" s="106">
        <v>-631</v>
      </c>
      <c r="AJ29" s="106">
        <v>-734</v>
      </c>
      <c r="AK29" s="106">
        <v>-1152</v>
      </c>
      <c r="AL29" s="106">
        <v>-656</v>
      </c>
      <c r="AM29" s="106">
        <v>-671</v>
      </c>
      <c r="AN29" s="106">
        <v>-618</v>
      </c>
      <c r="AO29" s="106">
        <v>-1082</v>
      </c>
      <c r="AP29" s="106">
        <v>-539</v>
      </c>
      <c r="AQ29" s="106">
        <v>-554</v>
      </c>
      <c r="AR29" s="106">
        <v>-666</v>
      </c>
      <c r="AS29" s="106">
        <v>-1071</v>
      </c>
    </row>
    <row r="30" spans="1:45" ht="12.75">
      <c r="A30" s="240" t="s">
        <v>36</v>
      </c>
      <c r="B30" s="240"/>
      <c r="C30" s="240"/>
      <c r="E30" s="139" t="s">
        <v>92</v>
      </c>
      <c r="F30" s="2">
        <v>-110</v>
      </c>
      <c r="G30" s="2">
        <v>-118</v>
      </c>
      <c r="H30" s="2">
        <v>-134</v>
      </c>
      <c r="I30" s="2">
        <v>-158</v>
      </c>
      <c r="J30" s="2">
        <v>-146</v>
      </c>
      <c r="K30" s="2">
        <v>-129</v>
      </c>
      <c r="L30" s="2">
        <v>-116</v>
      </c>
      <c r="M30" s="2">
        <v>-153</v>
      </c>
      <c r="N30" s="2">
        <v>-148</v>
      </c>
      <c r="O30" s="2">
        <v>-63</v>
      </c>
      <c r="P30" s="2">
        <v>-102</v>
      </c>
      <c r="Q30" s="2">
        <v>-57</v>
      </c>
      <c r="R30" s="2">
        <v>-79</v>
      </c>
      <c r="S30" s="2">
        <v>-110</v>
      </c>
      <c r="T30" s="2">
        <v>-84</v>
      </c>
      <c r="U30" s="2">
        <v>-123</v>
      </c>
      <c r="V30" s="2">
        <v>-74</v>
      </c>
      <c r="W30" s="2">
        <v>-100</v>
      </c>
      <c r="X30" s="2">
        <v>-149</v>
      </c>
      <c r="Y30" s="2">
        <v>-51</v>
      </c>
      <c r="Z30" s="2">
        <v>-93</v>
      </c>
      <c r="AA30" s="2">
        <v>-98</v>
      </c>
      <c r="AB30" s="2">
        <v>-106</v>
      </c>
      <c r="AC30" s="2">
        <v>-180</v>
      </c>
      <c r="AD30" s="2">
        <v>-109</v>
      </c>
      <c r="AE30" s="2">
        <v>-124</v>
      </c>
      <c r="AF30" s="2">
        <v>-114</v>
      </c>
      <c r="AG30" s="2">
        <v>-95</v>
      </c>
      <c r="AH30" s="106">
        <v>-64</v>
      </c>
      <c r="AI30" s="106">
        <v>-89</v>
      </c>
      <c r="AJ30" s="106">
        <v>-114</v>
      </c>
      <c r="AK30" s="106">
        <v>-88</v>
      </c>
      <c r="AL30" s="106">
        <v>-69</v>
      </c>
      <c r="AM30" s="106">
        <v>-105</v>
      </c>
      <c r="AN30" s="106">
        <v>-73</v>
      </c>
      <c r="AO30" s="106">
        <v>-112</v>
      </c>
      <c r="AP30" s="106">
        <v>-53</v>
      </c>
      <c r="AQ30" s="106">
        <v>-55</v>
      </c>
      <c r="AR30" s="106">
        <v>-79</v>
      </c>
      <c r="AS30" s="106">
        <v>-87</v>
      </c>
    </row>
    <row r="31" spans="1:45" ht="12.75">
      <c r="A31" s="240" t="s">
        <v>36</v>
      </c>
      <c r="B31" s="240"/>
      <c r="C31" s="240"/>
      <c r="E31" s="139" t="s">
        <v>402</v>
      </c>
      <c r="F31" s="2"/>
      <c r="G31" s="2"/>
      <c r="H31" s="2"/>
      <c r="I31" s="2"/>
      <c r="J31" s="2"/>
      <c r="K31" s="2"/>
      <c r="L31" s="2"/>
      <c r="M31" s="2"/>
      <c r="N31" s="2"/>
      <c r="O31" s="2"/>
      <c r="P31" s="2"/>
      <c r="Q31" s="2"/>
      <c r="R31" s="2"/>
      <c r="S31" s="2"/>
      <c r="T31" s="2"/>
      <c r="U31" s="2"/>
      <c r="V31" s="2"/>
      <c r="W31" s="2"/>
      <c r="X31" s="2"/>
      <c r="Y31" s="2">
        <v>-230</v>
      </c>
      <c r="Z31" s="2">
        <v>-131</v>
      </c>
      <c r="AA31" s="2">
        <v>-117</v>
      </c>
      <c r="AB31" s="2">
        <v>-149</v>
      </c>
      <c r="AC31" s="2">
        <v>-177</v>
      </c>
      <c r="AD31" s="2">
        <v>-133</v>
      </c>
      <c r="AE31" s="2">
        <v>-150</v>
      </c>
      <c r="AF31" s="2">
        <v>-170</v>
      </c>
      <c r="AG31" s="2">
        <v>-61</v>
      </c>
      <c r="AH31" s="106">
        <v>-76</v>
      </c>
      <c r="AI31" s="106">
        <v>-74</v>
      </c>
      <c r="AJ31" s="106">
        <v>-49</v>
      </c>
      <c r="AK31" s="106">
        <v>-91</v>
      </c>
      <c r="AL31" s="106">
        <v>-28</v>
      </c>
      <c r="AM31" s="106">
        <v>-113</v>
      </c>
      <c r="AN31" s="106">
        <v>-56</v>
      </c>
      <c r="AO31" s="106">
        <v>-57</v>
      </c>
      <c r="AP31" s="106">
        <v>-44</v>
      </c>
      <c r="AQ31" s="106">
        <v>-69</v>
      </c>
      <c r="AR31" s="106">
        <v>-54</v>
      </c>
      <c r="AS31" s="106">
        <v>-119</v>
      </c>
    </row>
    <row r="32" spans="1:45" ht="12.75">
      <c r="A32" s="240" t="s">
        <v>36</v>
      </c>
      <c r="B32" s="240"/>
      <c r="C32" s="240"/>
      <c r="E32" s="139" t="s">
        <v>93</v>
      </c>
      <c r="F32" s="2">
        <v>-44</v>
      </c>
      <c r="G32" s="2">
        <v>-25</v>
      </c>
      <c r="H32" s="2">
        <v>-8</v>
      </c>
      <c r="I32" s="2">
        <v>148</v>
      </c>
      <c r="J32" s="2">
        <v>193</v>
      </c>
      <c r="K32" s="2">
        <v>23</v>
      </c>
      <c r="L32" s="2">
        <v>-199</v>
      </c>
      <c r="M32" s="2">
        <v>-36</v>
      </c>
      <c r="N32" s="2">
        <v>-42</v>
      </c>
      <c r="O32" s="2">
        <v>-102</v>
      </c>
      <c r="P32" s="2">
        <v>-25</v>
      </c>
      <c r="Q32" s="2">
        <v>-209</v>
      </c>
      <c r="R32" s="2">
        <v>-161</v>
      </c>
      <c r="S32" s="2">
        <v>-146</v>
      </c>
      <c r="T32" s="2">
        <v>-174</v>
      </c>
      <c r="U32" s="2">
        <v>-383</v>
      </c>
      <c r="V32" s="2">
        <v>-252</v>
      </c>
      <c r="W32" s="2">
        <v>-242</v>
      </c>
      <c r="X32" s="2">
        <v>-115</v>
      </c>
      <c r="Y32" s="2">
        <v>-117</v>
      </c>
      <c r="Z32" s="2">
        <v>5</v>
      </c>
      <c r="AA32" s="2">
        <v>291</v>
      </c>
      <c r="AB32" s="2">
        <v>25</v>
      </c>
      <c r="AC32" s="2">
        <v>282</v>
      </c>
      <c r="AD32" s="2">
        <v>46</v>
      </c>
      <c r="AE32" s="2">
        <v>6</v>
      </c>
      <c r="AF32" s="2">
        <v>-39</v>
      </c>
      <c r="AG32" s="2">
        <v>-51</v>
      </c>
      <c r="AH32" s="106">
        <v>-40</v>
      </c>
      <c r="AI32" s="106">
        <v>30</v>
      </c>
      <c r="AJ32" s="106">
        <v>12</v>
      </c>
      <c r="AK32" s="106">
        <v>-41</v>
      </c>
      <c r="AL32" s="106">
        <v>-42</v>
      </c>
      <c r="AM32" s="106">
        <v>-71</v>
      </c>
      <c r="AN32" s="106">
        <v>-81</v>
      </c>
      <c r="AO32" s="106">
        <v>522</v>
      </c>
      <c r="AP32" s="106">
        <v>107</v>
      </c>
      <c r="AQ32" s="106">
        <v>257</v>
      </c>
      <c r="AR32" s="106">
        <v>50</v>
      </c>
      <c r="AS32" s="106">
        <v>243</v>
      </c>
    </row>
    <row r="33" spans="1:45" ht="12.75">
      <c r="A33" s="240" t="s">
        <v>37</v>
      </c>
      <c r="B33" s="240" t="s">
        <v>39</v>
      </c>
      <c r="C33" s="240"/>
      <c r="E33" s="123" t="s">
        <v>94</v>
      </c>
      <c r="F33" s="1">
        <v>-942</v>
      </c>
      <c r="G33" s="1">
        <v>-1075</v>
      </c>
      <c r="H33" s="1">
        <v>-957</v>
      </c>
      <c r="I33" s="1">
        <v>-905</v>
      </c>
      <c r="J33" s="1">
        <v>-450</v>
      </c>
      <c r="K33" s="1">
        <v>-885</v>
      </c>
      <c r="L33" s="1">
        <v>-1166</v>
      </c>
      <c r="M33" s="1">
        <v>-1254</v>
      </c>
      <c r="N33" s="1">
        <v>-704</v>
      </c>
      <c r="O33" s="1">
        <v>-569</v>
      </c>
      <c r="P33" s="1">
        <v>-613</v>
      </c>
      <c r="Q33" s="1">
        <v>-1081</v>
      </c>
      <c r="R33" s="1">
        <v>-678</v>
      </c>
      <c r="S33" s="1">
        <v>-1021</v>
      </c>
      <c r="T33" s="1">
        <v>-1109</v>
      </c>
      <c r="U33" s="1">
        <v>-1666</v>
      </c>
      <c r="V33" s="1">
        <v>-761</v>
      </c>
      <c r="W33" s="1">
        <v>-980</v>
      </c>
      <c r="X33" s="1">
        <v>-3672</v>
      </c>
      <c r="Y33" s="1">
        <v>-4636</v>
      </c>
      <c r="Z33" s="1">
        <v>-1048</v>
      </c>
      <c r="AA33" s="1">
        <v>-957</v>
      </c>
      <c r="AB33" s="1">
        <v>-1347</v>
      </c>
      <c r="AC33" s="1">
        <v>-1350</v>
      </c>
      <c r="AD33" s="1">
        <v>-1082</v>
      </c>
      <c r="AE33" s="1">
        <v>-1085</v>
      </c>
      <c r="AF33" s="1">
        <v>-1168</v>
      </c>
      <c r="AG33" s="1">
        <v>-1399</v>
      </c>
      <c r="AH33" s="106">
        <v>-670</v>
      </c>
      <c r="AI33" s="106">
        <v>-764</v>
      </c>
      <c r="AJ33" s="106">
        <v>-952</v>
      </c>
      <c r="AK33" s="106">
        <v>-1373</v>
      </c>
      <c r="AL33" s="106">
        <v>-795</v>
      </c>
      <c r="AM33" s="106">
        <v>-1038</v>
      </c>
      <c r="AN33" s="106">
        <v>-841</v>
      </c>
      <c r="AO33" s="106">
        <v>-729</v>
      </c>
      <c r="AP33" s="106">
        <v>-532</v>
      </c>
      <c r="AQ33" s="106">
        <v>-421</v>
      </c>
      <c r="AR33" s="106">
        <v>-883</v>
      </c>
      <c r="AS33" s="106">
        <v>-721</v>
      </c>
    </row>
    <row r="34" spans="1:45" ht="12.75">
      <c r="A34" s="240" t="s">
        <v>37</v>
      </c>
      <c r="B34" s="240" t="s">
        <v>39</v>
      </c>
      <c r="C34" s="240"/>
      <c r="E34" s="123" t="s">
        <v>95</v>
      </c>
      <c r="F34" s="1">
        <v>-677</v>
      </c>
      <c r="G34" s="1">
        <v>-600</v>
      </c>
      <c r="H34" s="1">
        <v>704</v>
      </c>
      <c r="I34" s="1">
        <v>1850</v>
      </c>
      <c r="J34" s="1">
        <v>-489</v>
      </c>
      <c r="K34" s="1">
        <v>1126</v>
      </c>
      <c r="L34" s="1">
        <v>-409</v>
      </c>
      <c r="M34" s="1">
        <v>966</v>
      </c>
      <c r="N34" s="1">
        <v>-65</v>
      </c>
      <c r="O34" s="1">
        <v>3507</v>
      </c>
      <c r="P34" s="1">
        <v>3328</v>
      </c>
      <c r="Q34" s="1">
        <v>-1440</v>
      </c>
      <c r="R34" s="1">
        <v>113</v>
      </c>
      <c r="S34" s="1">
        <v>2821</v>
      </c>
      <c r="T34" s="1">
        <v>139</v>
      </c>
      <c r="U34" s="1">
        <v>133</v>
      </c>
      <c r="V34" s="1">
        <v>-1286</v>
      </c>
      <c r="W34" s="1">
        <v>928</v>
      </c>
      <c r="X34" s="1">
        <v>-1366</v>
      </c>
      <c r="Y34" s="1">
        <v>-2926</v>
      </c>
      <c r="Z34" s="1">
        <v>-765</v>
      </c>
      <c r="AA34" s="1">
        <v>3040</v>
      </c>
      <c r="AB34" s="1">
        <v>-655</v>
      </c>
      <c r="AC34" s="1">
        <v>758</v>
      </c>
      <c r="AD34" s="1">
        <v>-3391</v>
      </c>
      <c r="AE34" s="1">
        <v>2106</v>
      </c>
      <c r="AF34" s="1">
        <v>294</v>
      </c>
      <c r="AG34" s="1">
        <v>712</v>
      </c>
      <c r="AH34" s="130">
        <v>-673</v>
      </c>
      <c r="AI34" s="130">
        <v>2567</v>
      </c>
      <c r="AJ34" s="130">
        <v>1093</v>
      </c>
      <c r="AK34" s="130">
        <v>1076</v>
      </c>
      <c r="AL34" s="130">
        <v>-888</v>
      </c>
      <c r="AM34" s="130">
        <v>2388</v>
      </c>
      <c r="AN34" s="130">
        <v>2698</v>
      </c>
      <c r="AO34" s="130">
        <v>666</v>
      </c>
      <c r="AP34" s="130">
        <v>-845</v>
      </c>
      <c r="AQ34" s="130">
        <v>3594</v>
      </c>
      <c r="AR34" s="130">
        <v>2555</v>
      </c>
      <c r="AS34" s="130">
        <v>2304</v>
      </c>
    </row>
    <row r="35" spans="1:45" ht="12.75">
      <c r="A35" s="240" t="s">
        <v>38</v>
      </c>
      <c r="B35" s="240"/>
      <c r="C35" s="240"/>
      <c r="E35" s="93"/>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06"/>
      <c r="AI35" s="106"/>
      <c r="AJ35" s="106"/>
      <c r="AK35" s="106"/>
      <c r="AL35" s="106"/>
      <c r="AM35" s="106"/>
      <c r="AN35" s="106"/>
      <c r="AO35" s="106"/>
      <c r="AP35" s="106"/>
      <c r="AQ35" s="106"/>
      <c r="AR35" s="106"/>
      <c r="AS35" s="106"/>
    </row>
    <row r="36" spans="1:45" ht="12.75">
      <c r="A36" s="243" t="s">
        <v>35</v>
      </c>
      <c r="B36" s="240"/>
      <c r="C36" s="240"/>
      <c r="E36" s="119" t="s">
        <v>96</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06"/>
      <c r="AI36" s="106"/>
      <c r="AJ36" s="106"/>
      <c r="AK36" s="106"/>
      <c r="AL36" s="106"/>
      <c r="AM36" s="106"/>
      <c r="AN36" s="106"/>
      <c r="AO36" s="106"/>
      <c r="AP36" s="106"/>
      <c r="AQ36" s="106"/>
      <c r="AR36" s="106"/>
      <c r="AS36" s="106"/>
    </row>
    <row r="37" spans="1:45" ht="12.75">
      <c r="A37" s="240" t="s">
        <v>36</v>
      </c>
      <c r="B37" s="240"/>
      <c r="C37" s="240"/>
      <c r="E37" s="93" t="s">
        <v>97</v>
      </c>
      <c r="F37" s="2">
        <v>1185</v>
      </c>
      <c r="G37" s="2">
        <v>-188</v>
      </c>
      <c r="H37" s="2">
        <v>304</v>
      </c>
      <c r="I37" s="2">
        <v>162</v>
      </c>
      <c r="J37" s="2">
        <v>123</v>
      </c>
      <c r="K37" s="2">
        <v>-63</v>
      </c>
      <c r="L37" s="2">
        <v>-312</v>
      </c>
      <c r="M37" s="2">
        <v>124</v>
      </c>
      <c r="N37" s="2">
        <v>-760</v>
      </c>
      <c r="O37" s="2">
        <v>-864</v>
      </c>
      <c r="P37" s="2">
        <v>-559</v>
      </c>
      <c r="Q37" s="2">
        <v>-551</v>
      </c>
      <c r="R37" s="2">
        <v>852</v>
      </c>
      <c r="S37" s="2">
        <v>210</v>
      </c>
      <c r="T37" s="2">
        <v>69</v>
      </c>
      <c r="U37" s="2">
        <v>175</v>
      </c>
      <c r="V37" s="2">
        <v>315</v>
      </c>
      <c r="W37" s="2">
        <v>-6</v>
      </c>
      <c r="X37" s="2">
        <v>747</v>
      </c>
      <c r="Y37" s="2">
        <v>388</v>
      </c>
      <c r="Z37" s="2">
        <v>-315</v>
      </c>
      <c r="AA37" s="2">
        <v>26</v>
      </c>
      <c r="AB37" s="2">
        <v>129</v>
      </c>
      <c r="AC37" s="2">
        <v>366</v>
      </c>
      <c r="AD37" s="2">
        <v>0</v>
      </c>
      <c r="AE37" s="2">
        <v>-2</v>
      </c>
      <c r="AF37" s="2">
        <v>-32</v>
      </c>
      <c r="AG37" s="2">
        <v>9</v>
      </c>
      <c r="AH37" s="106">
        <v>26</v>
      </c>
      <c r="AI37" s="106">
        <v>44</v>
      </c>
      <c r="AJ37" s="106">
        <v>-21</v>
      </c>
      <c r="AK37" s="106">
        <v>0</v>
      </c>
      <c r="AL37" s="106">
        <v>21</v>
      </c>
      <c r="AM37" s="106">
        <v>0</v>
      </c>
      <c r="AN37" s="106">
        <v>-30</v>
      </c>
      <c r="AO37" s="106">
        <v>0</v>
      </c>
      <c r="AP37" s="106">
        <v>97</v>
      </c>
      <c r="AQ37" s="106">
        <v>8</v>
      </c>
      <c r="AR37" s="106">
        <v>0</v>
      </c>
      <c r="AS37" s="106">
        <v>-904</v>
      </c>
    </row>
    <row r="38" spans="1:45" ht="12.75">
      <c r="A38" s="240" t="s">
        <v>36</v>
      </c>
      <c r="B38" s="240"/>
      <c r="C38" s="240"/>
      <c r="E38" s="93" t="s">
        <v>98</v>
      </c>
      <c r="F38" s="2">
        <v>971</v>
      </c>
      <c r="G38" s="2">
        <v>3066</v>
      </c>
      <c r="H38" s="2">
        <v>-762</v>
      </c>
      <c r="I38" s="2">
        <v>-605</v>
      </c>
      <c r="J38" s="2">
        <v>1278</v>
      </c>
      <c r="K38" s="2">
        <v>-2049</v>
      </c>
      <c r="L38" s="2">
        <v>-76</v>
      </c>
      <c r="M38" s="2">
        <v>166</v>
      </c>
      <c r="N38" s="2">
        <v>0</v>
      </c>
      <c r="O38" s="2">
        <v>-466</v>
      </c>
      <c r="P38" s="2">
        <v>-859</v>
      </c>
      <c r="Q38" s="2">
        <v>194</v>
      </c>
      <c r="R38" s="2">
        <v>-545</v>
      </c>
      <c r="S38" s="2">
        <v>-1146</v>
      </c>
      <c r="T38" s="2">
        <v>-137</v>
      </c>
      <c r="U38" s="2">
        <v>60</v>
      </c>
      <c r="V38" s="2">
        <v>-235</v>
      </c>
      <c r="W38" s="2">
        <v>204</v>
      </c>
      <c r="X38" s="2">
        <v>-69</v>
      </c>
      <c r="Y38" s="2">
        <v>-519</v>
      </c>
      <c r="Z38" s="2">
        <v>1316</v>
      </c>
      <c r="AA38" s="2">
        <v>-1632</v>
      </c>
      <c r="AB38" s="2">
        <v>-157</v>
      </c>
      <c r="AC38" s="2">
        <v>148</v>
      </c>
      <c r="AD38" s="2">
        <v>2570</v>
      </c>
      <c r="AE38" s="2">
        <v>-1931</v>
      </c>
      <c r="AF38" s="2">
        <v>-553</v>
      </c>
      <c r="AG38" s="2">
        <v>1065</v>
      </c>
      <c r="AH38" s="106">
        <v>8</v>
      </c>
      <c r="AI38" s="106">
        <v>-40</v>
      </c>
      <c r="AJ38" s="106">
        <v>-50</v>
      </c>
      <c r="AK38" s="106">
        <v>449</v>
      </c>
      <c r="AL38" s="106">
        <v>796</v>
      </c>
      <c r="AM38" s="106">
        <v>1661</v>
      </c>
      <c r="AN38" s="106">
        <v>344</v>
      </c>
      <c r="AO38" s="106">
        <v>-270</v>
      </c>
      <c r="AP38" s="106">
        <v>-318</v>
      </c>
      <c r="AQ38" s="106">
        <v>-154</v>
      </c>
      <c r="AR38" s="106">
        <v>95</v>
      </c>
      <c r="AS38" s="106">
        <v>346</v>
      </c>
    </row>
    <row r="39" spans="1:45" ht="12.75">
      <c r="A39" s="240" t="s">
        <v>36</v>
      </c>
      <c r="B39" s="240"/>
      <c r="C39" s="240"/>
      <c r="E39" s="139" t="s">
        <v>99</v>
      </c>
      <c r="F39" s="2">
        <v>2014</v>
      </c>
      <c r="G39" s="2">
        <v>-2014</v>
      </c>
      <c r="H39" s="2">
        <v>0</v>
      </c>
      <c r="I39" s="2">
        <v>1257</v>
      </c>
      <c r="J39" s="2">
        <v>1023</v>
      </c>
      <c r="K39" s="2">
        <v>3151</v>
      </c>
      <c r="L39" s="2">
        <v>183</v>
      </c>
      <c r="M39" s="2">
        <v>932</v>
      </c>
      <c r="N39" s="2">
        <v>1628</v>
      </c>
      <c r="O39" s="2">
        <v>4</v>
      </c>
      <c r="P39" s="2">
        <v>7</v>
      </c>
      <c r="Q39" s="2">
        <v>0</v>
      </c>
      <c r="R39" s="2">
        <v>6</v>
      </c>
      <c r="S39" s="2">
        <v>0</v>
      </c>
      <c r="T39" s="2">
        <v>371</v>
      </c>
      <c r="U39" s="2">
        <v>3</v>
      </c>
      <c r="V39" s="2">
        <v>0</v>
      </c>
      <c r="W39" s="2">
        <v>2500</v>
      </c>
      <c r="X39" s="2">
        <v>1003</v>
      </c>
      <c r="Y39" s="2">
        <v>0</v>
      </c>
      <c r="Z39" s="2">
        <v>1000</v>
      </c>
      <c r="AA39" s="2">
        <v>7</v>
      </c>
      <c r="AB39" s="2">
        <v>50</v>
      </c>
      <c r="AC39" s="2">
        <v>1512</v>
      </c>
      <c r="AD39" s="2">
        <v>2010</v>
      </c>
      <c r="AE39" s="2">
        <v>1015</v>
      </c>
      <c r="AF39" s="2">
        <v>14</v>
      </c>
      <c r="AG39" s="2">
        <v>0</v>
      </c>
      <c r="AH39" s="106">
        <v>6</v>
      </c>
      <c r="AI39" s="106">
        <v>1000</v>
      </c>
      <c r="AJ39" s="106">
        <v>16</v>
      </c>
      <c r="AK39" s="106">
        <v>930</v>
      </c>
      <c r="AL39" s="106">
        <v>0</v>
      </c>
      <c r="AM39" s="106">
        <v>0</v>
      </c>
      <c r="AN39" s="106">
        <v>0</v>
      </c>
      <c r="AO39" s="106">
        <v>0</v>
      </c>
      <c r="AP39" s="106">
        <v>0</v>
      </c>
      <c r="AQ39" s="106">
        <v>0</v>
      </c>
      <c r="AR39" s="106">
        <v>0</v>
      </c>
      <c r="AS39" s="106">
        <v>0</v>
      </c>
    </row>
    <row r="40" spans="1:45" ht="12.75">
      <c r="A40" s="240" t="s">
        <v>36</v>
      </c>
      <c r="B40" s="240"/>
      <c r="C40" s="240"/>
      <c r="E40" s="93" t="s">
        <v>100</v>
      </c>
      <c r="F40" s="2">
        <v>-8</v>
      </c>
      <c r="G40" s="2">
        <v>8</v>
      </c>
      <c r="H40" s="2">
        <v>0</v>
      </c>
      <c r="I40" s="2">
        <v>0</v>
      </c>
      <c r="J40" s="2">
        <v>-2832</v>
      </c>
      <c r="K40" s="2">
        <v>0</v>
      </c>
      <c r="L40" s="2">
        <v>-6</v>
      </c>
      <c r="M40" s="2">
        <v>-85</v>
      </c>
      <c r="N40" s="2">
        <v>-512</v>
      </c>
      <c r="O40" s="2">
        <v>-12</v>
      </c>
      <c r="P40" s="2">
        <v>-43</v>
      </c>
      <c r="Q40" s="2">
        <v>-473</v>
      </c>
      <c r="R40" s="2">
        <v>-711</v>
      </c>
      <c r="S40" s="2">
        <v>-312</v>
      </c>
      <c r="T40" s="2"/>
      <c r="U40" s="2">
        <v>-8</v>
      </c>
      <c r="V40" s="2">
        <v>-698</v>
      </c>
      <c r="W40" s="2">
        <v>-205</v>
      </c>
      <c r="X40" s="2">
        <v>-8</v>
      </c>
      <c r="Y40" s="2">
        <v>-250</v>
      </c>
      <c r="Z40" s="2">
        <v>-7</v>
      </c>
      <c r="AA40" s="2">
        <v>-6</v>
      </c>
      <c r="AB40" s="2">
        <v>-306</v>
      </c>
      <c r="AC40" s="2">
        <v>-2744</v>
      </c>
      <c r="AD40" s="2">
        <v>-837</v>
      </c>
      <c r="AE40" s="2">
        <v>-4</v>
      </c>
      <c r="AF40" s="2">
        <v>-1005</v>
      </c>
      <c r="AG40" s="2">
        <v>-5</v>
      </c>
      <c r="AH40" s="106">
        <v>-5</v>
      </c>
      <c r="AI40" s="106">
        <v>-1239</v>
      </c>
      <c r="AJ40" s="106">
        <v>-5</v>
      </c>
      <c r="AK40" s="106">
        <v>-1005</v>
      </c>
      <c r="AL40" s="106">
        <v>-1005</v>
      </c>
      <c r="AM40" s="106">
        <v>-1909</v>
      </c>
      <c r="AN40" s="106">
        <v>-714</v>
      </c>
      <c r="AO40" s="106">
        <v>-4</v>
      </c>
      <c r="AP40" s="106">
        <v>-4</v>
      </c>
      <c r="AQ40" s="106">
        <v>-2656</v>
      </c>
      <c r="AR40" s="106">
        <v>-4</v>
      </c>
      <c r="AS40" s="106">
        <v>-5</v>
      </c>
    </row>
    <row r="41" spans="1:45" ht="12.75">
      <c r="A41" s="240" t="s">
        <v>36</v>
      </c>
      <c r="B41" s="240"/>
      <c r="C41" s="240"/>
      <c r="E41" s="93" t="s">
        <v>101</v>
      </c>
      <c r="F41" s="2" t="s">
        <v>109</v>
      </c>
      <c r="G41" s="2">
        <v>-1126</v>
      </c>
      <c r="H41" s="2">
        <v>0</v>
      </c>
      <c r="I41" s="2">
        <v>0</v>
      </c>
      <c r="J41" s="2">
        <v>0</v>
      </c>
      <c r="K41" s="2">
        <v>-1204</v>
      </c>
      <c r="L41" s="2">
        <v>0</v>
      </c>
      <c r="M41" s="2">
        <v>0</v>
      </c>
      <c r="N41" s="2">
        <v>0</v>
      </c>
      <c r="O41" s="2">
        <v>0</v>
      </c>
      <c r="P41" s="2">
        <v>0</v>
      </c>
      <c r="Q41" s="2">
        <v>0</v>
      </c>
      <c r="R41" s="2">
        <v>0</v>
      </c>
      <c r="S41" s="2">
        <v>-1138</v>
      </c>
      <c r="T41" s="2">
        <v>-8</v>
      </c>
      <c r="U41" s="2"/>
      <c r="V41" s="2">
        <v>0</v>
      </c>
      <c r="W41" s="2">
        <v>-1850</v>
      </c>
      <c r="X41" s="2">
        <v>0</v>
      </c>
      <c r="Y41" s="2">
        <v>0</v>
      </c>
      <c r="Z41" s="2">
        <v>0</v>
      </c>
      <c r="AA41" s="2">
        <v>-1860</v>
      </c>
      <c r="AB41" s="2">
        <v>-8</v>
      </c>
      <c r="AC41" s="2">
        <v>0</v>
      </c>
      <c r="AD41" s="2">
        <v>0</v>
      </c>
      <c r="AE41" s="2">
        <v>-1860</v>
      </c>
      <c r="AF41" s="2">
        <v>0</v>
      </c>
      <c r="AG41" s="2">
        <v>0</v>
      </c>
      <c r="AH41" s="43">
        <v>0</v>
      </c>
      <c r="AI41" s="43">
        <v>0</v>
      </c>
      <c r="AJ41" s="43">
        <v>0</v>
      </c>
      <c r="AK41" s="43">
        <v>0</v>
      </c>
      <c r="AL41" s="43">
        <v>0</v>
      </c>
      <c r="AM41" s="43">
        <v>-1868</v>
      </c>
      <c r="AN41" s="43">
        <v>0</v>
      </c>
      <c r="AO41" s="43">
        <v>-2</v>
      </c>
      <c r="AP41" s="43">
        <v>0</v>
      </c>
      <c r="AQ41" s="43">
        <v>-1868</v>
      </c>
      <c r="AR41" s="106">
        <v>0</v>
      </c>
      <c r="AS41" s="106">
        <v>0</v>
      </c>
    </row>
    <row r="42" spans="1:45" ht="12.75">
      <c r="A42" s="240" t="s">
        <v>36</v>
      </c>
      <c r="B42" s="240"/>
      <c r="C42" s="253"/>
      <c r="E42" s="93" t="s">
        <v>102</v>
      </c>
      <c r="F42" s="2">
        <v>106</v>
      </c>
      <c r="G42" s="2">
        <v>12</v>
      </c>
      <c r="H42" s="2">
        <v>4</v>
      </c>
      <c r="I42" s="2">
        <v>5</v>
      </c>
      <c r="J42" s="2">
        <v>3</v>
      </c>
      <c r="K42" s="2">
        <v>14</v>
      </c>
      <c r="L42" s="2">
        <v>0</v>
      </c>
      <c r="M42" s="2">
        <v>0</v>
      </c>
      <c r="N42" s="2"/>
      <c r="O42" s="2">
        <v>45</v>
      </c>
      <c r="P42" s="2">
        <v>14</v>
      </c>
      <c r="Q42" s="2">
        <v>10</v>
      </c>
      <c r="R42" s="2">
        <v>3</v>
      </c>
      <c r="S42" s="2">
        <v>15</v>
      </c>
      <c r="T42" s="2">
        <v>0</v>
      </c>
      <c r="U42" s="2">
        <v>0</v>
      </c>
      <c r="V42" s="2">
        <v>0</v>
      </c>
      <c r="W42" s="2"/>
      <c r="X42" s="2"/>
      <c r="Y42" s="2">
        <v>0</v>
      </c>
      <c r="Z42" s="2">
        <v>212</v>
      </c>
      <c r="AA42" s="2">
        <v>0</v>
      </c>
      <c r="AB42" s="2">
        <v>0</v>
      </c>
      <c r="AC42" s="2">
        <v>0</v>
      </c>
      <c r="AD42" s="2">
        <v>0</v>
      </c>
      <c r="AE42" s="2">
        <v>0</v>
      </c>
      <c r="AF42" s="2">
        <v>0</v>
      </c>
      <c r="AG42" s="2">
        <v>0</v>
      </c>
      <c r="AH42" s="106">
        <v>0</v>
      </c>
      <c r="AI42" s="106">
        <v>-1861</v>
      </c>
      <c r="AJ42" s="106">
        <v>0</v>
      </c>
      <c r="AK42" s="106">
        <v>0</v>
      </c>
      <c r="AL42" s="106">
        <v>0</v>
      </c>
      <c r="AM42" s="106">
        <v>0</v>
      </c>
      <c r="AN42" s="106">
        <v>0</v>
      </c>
      <c r="AO42" s="106">
        <v>0</v>
      </c>
      <c r="AP42" s="106">
        <v>0</v>
      </c>
      <c r="AQ42" s="106">
        <v>0</v>
      </c>
      <c r="AR42" s="106">
        <v>0</v>
      </c>
      <c r="AS42" s="106">
        <v>0</v>
      </c>
    </row>
    <row r="43" spans="1:45" ht="12.75">
      <c r="A43" s="240" t="s">
        <v>36</v>
      </c>
      <c r="B43" s="240"/>
      <c r="C43" s="253"/>
      <c r="E43" s="49" t="s">
        <v>470</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106"/>
      <c r="AI43" s="106"/>
      <c r="AJ43" s="106"/>
      <c r="AK43" s="106"/>
      <c r="AL43" s="106"/>
      <c r="AM43" s="106"/>
      <c r="AN43" s="106"/>
      <c r="AO43" s="106"/>
      <c r="AP43" s="106">
        <v>-54</v>
      </c>
      <c r="AQ43" s="106">
        <v>-3</v>
      </c>
      <c r="AR43" s="106">
        <v>0</v>
      </c>
      <c r="AS43" s="106">
        <v>0</v>
      </c>
    </row>
    <row r="44" spans="1:45" ht="12.75">
      <c r="A44" s="240" t="s">
        <v>36</v>
      </c>
      <c r="B44" s="240"/>
      <c r="C44" s="240"/>
      <c r="E44" s="93" t="s">
        <v>108</v>
      </c>
      <c r="F44" s="2">
        <v>-5582</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0</v>
      </c>
      <c r="AF44" s="2">
        <v>0</v>
      </c>
      <c r="AG44" s="2">
        <v>0</v>
      </c>
      <c r="AH44" s="106">
        <v>0</v>
      </c>
      <c r="AI44" s="106">
        <v>0</v>
      </c>
      <c r="AJ44" s="106">
        <v>0</v>
      </c>
      <c r="AK44" s="106">
        <v>0</v>
      </c>
      <c r="AL44" s="106">
        <v>0</v>
      </c>
      <c r="AM44" s="106">
        <v>0</v>
      </c>
      <c r="AN44" s="106">
        <v>0</v>
      </c>
      <c r="AO44" s="106">
        <v>0</v>
      </c>
      <c r="AP44" s="106">
        <v>0</v>
      </c>
      <c r="AQ44" s="106">
        <v>0</v>
      </c>
      <c r="AR44" s="106">
        <v>0</v>
      </c>
      <c r="AS44" s="106">
        <v>0</v>
      </c>
    </row>
    <row r="45" spans="1:45" ht="12.75">
      <c r="A45" s="240" t="s">
        <v>37</v>
      </c>
      <c r="B45" s="240" t="s">
        <v>39</v>
      </c>
      <c r="C45" s="240"/>
      <c r="E45" s="119" t="s">
        <v>103</v>
      </c>
      <c r="F45" s="1">
        <v>-1314</v>
      </c>
      <c r="G45" s="1">
        <v>-242</v>
      </c>
      <c r="H45" s="1">
        <v>-454</v>
      </c>
      <c r="I45" s="1">
        <v>819</v>
      </c>
      <c r="J45" s="1">
        <v>-405</v>
      </c>
      <c r="K45" s="1">
        <v>-151</v>
      </c>
      <c r="L45" s="1">
        <v>-211</v>
      </c>
      <c r="M45" s="1">
        <v>1137</v>
      </c>
      <c r="N45" s="1">
        <v>356</v>
      </c>
      <c r="O45" s="1">
        <v>-1293</v>
      </c>
      <c r="P45" s="1">
        <v>-1440</v>
      </c>
      <c r="Q45" s="1">
        <v>-820</v>
      </c>
      <c r="R45" s="1">
        <v>-395</v>
      </c>
      <c r="S45" s="1">
        <v>-2371</v>
      </c>
      <c r="T45" s="14">
        <v>295</v>
      </c>
      <c r="U45" s="14">
        <v>230</v>
      </c>
      <c r="V45" s="14">
        <v>-618</v>
      </c>
      <c r="W45" s="14">
        <v>643</v>
      </c>
      <c r="X45" s="14">
        <v>1673</v>
      </c>
      <c r="Y45" s="14">
        <v>-381</v>
      </c>
      <c r="Z45" s="14">
        <v>2206</v>
      </c>
      <c r="AA45" s="14">
        <v>-3465</v>
      </c>
      <c r="AB45" s="14">
        <v>-292</v>
      </c>
      <c r="AC45" s="14">
        <v>-718</v>
      </c>
      <c r="AD45" s="14">
        <v>3743</v>
      </c>
      <c r="AE45" s="14">
        <v>-2782</v>
      </c>
      <c r="AF45" s="14">
        <v>-1576</v>
      </c>
      <c r="AG45" s="14">
        <v>1069</v>
      </c>
      <c r="AH45" s="130">
        <v>35</v>
      </c>
      <c r="AI45" s="130">
        <v>-2096</v>
      </c>
      <c r="AJ45" s="130">
        <v>-60</v>
      </c>
      <c r="AK45" s="130">
        <v>374</v>
      </c>
      <c r="AL45" s="130">
        <v>-188</v>
      </c>
      <c r="AM45" s="130">
        <v>-2116</v>
      </c>
      <c r="AN45" s="130">
        <v>-400</v>
      </c>
      <c r="AO45" s="130">
        <v>-276</v>
      </c>
      <c r="AP45" s="130">
        <v>-279</v>
      </c>
      <c r="AQ45" s="130">
        <v>-4673</v>
      </c>
      <c r="AR45" s="130">
        <v>91</v>
      </c>
      <c r="AS45" s="130">
        <v>-563</v>
      </c>
    </row>
    <row r="46" spans="1:45" ht="12.75">
      <c r="A46" s="240" t="s">
        <v>38</v>
      </c>
      <c r="B46" s="240"/>
      <c r="C46" s="240"/>
      <c r="E46" s="93"/>
      <c r="F46" s="2"/>
      <c r="G46" s="2"/>
      <c r="H46" s="2"/>
      <c r="I46" s="2"/>
      <c r="J46" s="2"/>
      <c r="K46" s="2"/>
      <c r="L46" s="2"/>
      <c r="M46" s="2"/>
      <c r="N46" s="2"/>
      <c r="O46" s="2"/>
      <c r="P46" s="2"/>
      <c r="Q46" s="2"/>
      <c r="R46" s="2"/>
      <c r="S46" s="2"/>
      <c r="T46" s="1"/>
      <c r="U46" s="1"/>
      <c r="V46" s="1"/>
      <c r="W46" s="1"/>
      <c r="X46" s="1"/>
      <c r="Y46" s="1"/>
      <c r="Z46" s="1"/>
      <c r="AA46" s="1"/>
      <c r="AB46" s="1"/>
      <c r="AC46" s="1"/>
      <c r="AD46" s="1"/>
      <c r="AE46" s="1"/>
      <c r="AF46" s="1"/>
      <c r="AG46" s="1"/>
      <c r="AH46" s="106"/>
      <c r="AI46" s="106"/>
      <c r="AJ46" s="106"/>
      <c r="AK46" s="106"/>
      <c r="AL46" s="106"/>
      <c r="AM46" s="106"/>
      <c r="AN46" s="106"/>
      <c r="AO46" s="106"/>
      <c r="AP46" s="106"/>
      <c r="AQ46" s="106"/>
      <c r="AR46" s="106"/>
      <c r="AS46" s="106"/>
    </row>
    <row r="47" spans="1:45" ht="12.75">
      <c r="A47" s="240" t="s">
        <v>37</v>
      </c>
      <c r="B47" s="240" t="s">
        <v>39</v>
      </c>
      <c r="C47" s="240"/>
      <c r="E47" s="119" t="s">
        <v>104</v>
      </c>
      <c r="F47" s="1">
        <v>-1991</v>
      </c>
      <c r="G47" s="1">
        <v>-842</v>
      </c>
      <c r="H47" s="1">
        <v>250</v>
      </c>
      <c r="I47" s="1">
        <v>2669</v>
      </c>
      <c r="J47" s="1">
        <v>-894</v>
      </c>
      <c r="K47" s="1">
        <v>975</v>
      </c>
      <c r="L47" s="1">
        <v>-620</v>
      </c>
      <c r="M47" s="1">
        <v>2103</v>
      </c>
      <c r="N47" s="1">
        <v>291</v>
      </c>
      <c r="O47" s="1">
        <v>2214</v>
      </c>
      <c r="P47" s="1">
        <v>1888</v>
      </c>
      <c r="Q47" s="1">
        <v>-2260</v>
      </c>
      <c r="R47" s="1">
        <v>-282</v>
      </c>
      <c r="S47" s="1">
        <v>450</v>
      </c>
      <c r="T47" s="14">
        <v>434</v>
      </c>
      <c r="U47" s="14">
        <v>363</v>
      </c>
      <c r="V47" s="14">
        <v>-1904</v>
      </c>
      <c r="W47" s="14">
        <v>1571</v>
      </c>
      <c r="X47" s="14">
        <v>307</v>
      </c>
      <c r="Y47" s="14">
        <v>-3307</v>
      </c>
      <c r="Z47" s="14">
        <v>1441</v>
      </c>
      <c r="AA47" s="14">
        <v>-425</v>
      </c>
      <c r="AB47" s="14">
        <v>-947</v>
      </c>
      <c r="AC47" s="14">
        <v>40</v>
      </c>
      <c r="AD47" s="14">
        <v>352</v>
      </c>
      <c r="AE47" s="14">
        <v>-676</v>
      </c>
      <c r="AF47" s="14">
        <v>-1282</v>
      </c>
      <c r="AG47" s="14">
        <v>1781</v>
      </c>
      <c r="AH47" s="130">
        <v>-638</v>
      </c>
      <c r="AI47" s="130">
        <v>471</v>
      </c>
      <c r="AJ47" s="130">
        <v>1033</v>
      </c>
      <c r="AK47" s="130">
        <v>1450</v>
      </c>
      <c r="AL47" s="130">
        <v>-1076</v>
      </c>
      <c r="AM47" s="130">
        <v>272</v>
      </c>
      <c r="AN47" s="130">
        <v>2298</v>
      </c>
      <c r="AO47" s="130">
        <v>390</v>
      </c>
      <c r="AP47" s="130">
        <v>-1124</v>
      </c>
      <c r="AQ47" s="130">
        <v>-1079</v>
      </c>
      <c r="AR47" s="130">
        <v>2646</v>
      </c>
      <c r="AS47" s="130">
        <v>1741</v>
      </c>
    </row>
    <row r="48" spans="1:45" ht="12.75">
      <c r="A48" s="240" t="s">
        <v>36</v>
      </c>
      <c r="B48" s="240"/>
      <c r="C48" s="240"/>
      <c r="E48" s="49" t="s">
        <v>105</v>
      </c>
      <c r="F48" s="2">
        <v>5475</v>
      </c>
      <c r="G48" s="2">
        <v>3460</v>
      </c>
      <c r="H48" s="2">
        <v>2720</v>
      </c>
      <c r="I48" s="2">
        <v>2905</v>
      </c>
      <c r="J48" s="2">
        <v>5546</v>
      </c>
      <c r="K48" s="2">
        <v>4501</v>
      </c>
      <c r="L48" s="2">
        <v>5558</v>
      </c>
      <c r="M48" s="2">
        <v>4937</v>
      </c>
      <c r="N48" s="2">
        <v>7305</v>
      </c>
      <c r="O48" s="2">
        <v>7714</v>
      </c>
      <c r="P48" s="2">
        <v>9964</v>
      </c>
      <c r="Q48" s="2">
        <v>11579</v>
      </c>
      <c r="R48" s="2">
        <v>9537</v>
      </c>
      <c r="S48" s="2">
        <v>9200</v>
      </c>
      <c r="T48" s="13">
        <v>9892</v>
      </c>
      <c r="U48" s="13">
        <v>9947</v>
      </c>
      <c r="V48" s="13">
        <v>10389</v>
      </c>
      <c r="W48" s="13">
        <v>8209</v>
      </c>
      <c r="X48" s="13">
        <v>9905</v>
      </c>
      <c r="Y48" s="13">
        <v>10226</v>
      </c>
      <c r="Z48" s="13">
        <v>6966</v>
      </c>
      <c r="AA48" s="13">
        <v>8349</v>
      </c>
      <c r="AB48" s="13">
        <v>7985</v>
      </c>
      <c r="AC48" s="13">
        <v>6836</v>
      </c>
      <c r="AD48" s="13">
        <v>6835</v>
      </c>
      <c r="AE48" s="13">
        <v>7112</v>
      </c>
      <c r="AF48" s="13">
        <v>6427</v>
      </c>
      <c r="AG48" s="13">
        <v>4971</v>
      </c>
      <c r="AH48" s="106">
        <v>6607</v>
      </c>
      <c r="AI48" s="106">
        <v>5949</v>
      </c>
      <c r="AJ48" s="106">
        <v>6522</v>
      </c>
      <c r="AK48" s="106">
        <v>7616</v>
      </c>
      <c r="AL48" s="106">
        <v>9107</v>
      </c>
      <c r="AM48" s="106">
        <v>8109</v>
      </c>
      <c r="AN48" s="106">
        <v>8258</v>
      </c>
      <c r="AO48" s="106">
        <v>10414</v>
      </c>
      <c r="AP48" s="106">
        <v>10696</v>
      </c>
      <c r="AQ48" s="106">
        <v>9486</v>
      </c>
      <c r="AR48" s="106">
        <v>8538</v>
      </c>
      <c r="AS48" s="106">
        <v>11236</v>
      </c>
    </row>
    <row r="49" spans="1:45" ht="12.75">
      <c r="A49" s="240" t="s">
        <v>36</v>
      </c>
      <c r="B49" s="240"/>
      <c r="C49" s="240"/>
      <c r="E49" s="93" t="s">
        <v>106</v>
      </c>
      <c r="F49" s="2">
        <v>-24</v>
      </c>
      <c r="G49" s="2">
        <v>102</v>
      </c>
      <c r="H49" s="2">
        <v>-65</v>
      </c>
      <c r="I49" s="2">
        <v>-28</v>
      </c>
      <c r="J49" s="2">
        <v>-151</v>
      </c>
      <c r="K49" s="2">
        <v>82</v>
      </c>
      <c r="L49" s="2">
        <v>-1</v>
      </c>
      <c r="M49" s="2">
        <v>265</v>
      </c>
      <c r="N49" s="2">
        <v>118</v>
      </c>
      <c r="O49" s="2">
        <v>36</v>
      </c>
      <c r="P49" s="2">
        <v>-273</v>
      </c>
      <c r="Q49" s="2">
        <v>218</v>
      </c>
      <c r="R49" s="2">
        <v>-55</v>
      </c>
      <c r="S49" s="2">
        <v>242</v>
      </c>
      <c r="T49" s="2">
        <v>-379</v>
      </c>
      <c r="U49" s="2">
        <v>79</v>
      </c>
      <c r="V49" s="2">
        <v>-276</v>
      </c>
      <c r="W49" s="2">
        <v>125</v>
      </c>
      <c r="X49" s="2">
        <v>14</v>
      </c>
      <c r="Y49" s="2">
        <v>47</v>
      </c>
      <c r="Z49" s="2">
        <v>-58</v>
      </c>
      <c r="AA49" s="2">
        <v>61</v>
      </c>
      <c r="AB49" s="2">
        <v>-202</v>
      </c>
      <c r="AC49" s="2">
        <v>-41</v>
      </c>
      <c r="AD49" s="2">
        <v>-75</v>
      </c>
      <c r="AE49" s="2">
        <v>-9</v>
      </c>
      <c r="AF49" s="2">
        <v>-174</v>
      </c>
      <c r="AG49" s="2">
        <v>-145</v>
      </c>
      <c r="AH49" s="106">
        <v>-20</v>
      </c>
      <c r="AI49" s="106">
        <v>102</v>
      </c>
      <c r="AJ49" s="106">
        <v>61</v>
      </c>
      <c r="AK49" s="106">
        <v>41</v>
      </c>
      <c r="AL49" s="106">
        <v>78</v>
      </c>
      <c r="AM49" s="106">
        <v>-123</v>
      </c>
      <c r="AN49" s="106">
        <v>-142</v>
      </c>
      <c r="AO49" s="106">
        <v>-108</v>
      </c>
      <c r="AP49" s="106">
        <v>-86</v>
      </c>
      <c r="AQ49" s="106">
        <v>131</v>
      </c>
      <c r="AR49" s="106">
        <v>52</v>
      </c>
      <c r="AS49" s="106">
        <v>-221</v>
      </c>
    </row>
    <row r="50" spans="1:45" ht="12.75">
      <c r="A50" s="240" t="s">
        <v>37</v>
      </c>
      <c r="B50" s="240"/>
      <c r="C50" s="240"/>
      <c r="E50" s="119" t="s">
        <v>107</v>
      </c>
      <c r="F50" s="1">
        <v>3460</v>
      </c>
      <c r="G50" s="1">
        <v>2720</v>
      </c>
      <c r="H50" s="1">
        <v>2905</v>
      </c>
      <c r="I50" s="1">
        <v>5546</v>
      </c>
      <c r="J50" s="1">
        <v>4501</v>
      </c>
      <c r="K50" s="1">
        <v>5558</v>
      </c>
      <c r="L50" s="1">
        <v>4937</v>
      </c>
      <c r="M50" s="1">
        <v>7305</v>
      </c>
      <c r="N50" s="1">
        <v>7714</v>
      </c>
      <c r="O50" s="1">
        <v>9964</v>
      </c>
      <c r="P50" s="1">
        <v>11579</v>
      </c>
      <c r="Q50" s="1">
        <v>9537</v>
      </c>
      <c r="R50" s="1">
        <v>9200</v>
      </c>
      <c r="S50" s="1">
        <v>9892</v>
      </c>
      <c r="T50" s="14">
        <v>9947</v>
      </c>
      <c r="U50" s="14">
        <v>10389</v>
      </c>
      <c r="V50" s="14">
        <v>8209</v>
      </c>
      <c r="W50" s="14">
        <v>9905</v>
      </c>
      <c r="X50" s="14">
        <v>10226</v>
      </c>
      <c r="Y50" s="14">
        <v>6966</v>
      </c>
      <c r="Z50" s="14">
        <v>8349</v>
      </c>
      <c r="AA50" s="14">
        <v>7985</v>
      </c>
      <c r="AB50" s="14">
        <v>6836</v>
      </c>
      <c r="AC50" s="14">
        <v>6835</v>
      </c>
      <c r="AD50" s="14">
        <v>7112</v>
      </c>
      <c r="AE50" s="14">
        <v>6427</v>
      </c>
      <c r="AF50" s="14">
        <v>4971</v>
      </c>
      <c r="AG50" s="14">
        <v>6607</v>
      </c>
      <c r="AH50" s="130">
        <v>5949</v>
      </c>
      <c r="AI50" s="130">
        <v>6522</v>
      </c>
      <c r="AJ50" s="130">
        <v>7616</v>
      </c>
      <c r="AK50" s="130">
        <v>9107</v>
      </c>
      <c r="AL50" s="130">
        <v>8109</v>
      </c>
      <c r="AM50" s="130">
        <v>8258</v>
      </c>
      <c r="AN50" s="130">
        <v>10414</v>
      </c>
      <c r="AO50" s="130">
        <v>10696</v>
      </c>
      <c r="AP50" s="130">
        <v>9486</v>
      </c>
      <c r="AQ50" s="130">
        <v>8538</v>
      </c>
      <c r="AR50" s="130">
        <v>11236</v>
      </c>
      <c r="AS50" s="130">
        <v>12756</v>
      </c>
    </row>
    <row r="51" spans="1:33" ht="12.75">
      <c r="A51" s="240" t="s">
        <v>38</v>
      </c>
      <c r="B51" s="240"/>
      <c r="C51" s="240"/>
      <c r="E51" s="119"/>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45" ht="12.75">
      <c r="A52" s="240" t="s">
        <v>38</v>
      </c>
      <c r="B52" s="240"/>
      <c r="C52" s="240"/>
      <c r="E52" s="29"/>
      <c r="F52" s="29"/>
      <c r="G52" s="29"/>
      <c r="H52" s="2"/>
      <c r="I52" s="2"/>
      <c r="J52" s="2"/>
      <c r="K52" s="2"/>
      <c r="L52" s="2"/>
      <c r="M52" s="2"/>
      <c r="N52" s="2"/>
      <c r="O52" s="2"/>
      <c r="P52" s="2"/>
      <c r="Q52" s="2"/>
      <c r="R52" s="2"/>
      <c r="S52" s="2"/>
      <c r="T52" s="2"/>
      <c r="U52" s="2"/>
      <c r="V52" s="2"/>
      <c r="W52" s="2"/>
      <c r="X52" s="2"/>
      <c r="Y52" s="2"/>
      <c r="Z52" s="2"/>
      <c r="AA52" s="2"/>
      <c r="AB52" s="2"/>
      <c r="AC52" s="2"/>
      <c r="AD52" s="2"/>
      <c r="AE52" s="2"/>
      <c r="AF52" s="2"/>
      <c r="AG52" s="2"/>
      <c r="AH52" s="106"/>
      <c r="AI52" s="106"/>
      <c r="AJ52" s="106"/>
      <c r="AK52" s="106"/>
      <c r="AL52" s="106"/>
      <c r="AM52" s="106"/>
      <c r="AN52" s="106"/>
      <c r="AO52" s="106"/>
      <c r="AP52" s="106"/>
      <c r="AQ52" s="106"/>
      <c r="AR52" s="106"/>
      <c r="AS52" s="106"/>
    </row>
    <row r="53" spans="1:45" s="126" customFormat="1" ht="12.75">
      <c r="A53" s="256" t="s">
        <v>35</v>
      </c>
      <c r="B53" s="256"/>
      <c r="C53" s="256"/>
      <c r="E53" s="126" t="s">
        <v>33</v>
      </c>
      <c r="F53" s="87" t="s">
        <v>0</v>
      </c>
      <c r="G53" s="87" t="s">
        <v>1</v>
      </c>
      <c r="H53" s="87" t="s">
        <v>2</v>
      </c>
      <c r="I53" s="87" t="s">
        <v>3</v>
      </c>
      <c r="J53" s="87" t="s">
        <v>4</v>
      </c>
      <c r="K53" s="87" t="s">
        <v>5</v>
      </c>
      <c r="L53" s="87" t="s">
        <v>6</v>
      </c>
      <c r="M53" s="87" t="s">
        <v>7</v>
      </c>
      <c r="N53" s="87" t="s">
        <v>8</v>
      </c>
      <c r="O53" s="87" t="s">
        <v>9</v>
      </c>
      <c r="P53" s="87" t="s">
        <v>338</v>
      </c>
      <c r="Q53" s="87" t="s">
        <v>355</v>
      </c>
      <c r="R53" s="87" t="s">
        <v>362</v>
      </c>
      <c r="S53" s="87" t="s">
        <v>367</v>
      </c>
      <c r="T53" s="87" t="s">
        <v>371</v>
      </c>
      <c r="U53" s="87" t="s">
        <v>372</v>
      </c>
      <c r="V53" s="87" t="s">
        <v>378</v>
      </c>
      <c r="W53" s="87" t="s">
        <v>397</v>
      </c>
      <c r="X53" s="87" t="s">
        <v>398</v>
      </c>
      <c r="Y53" s="87" t="s">
        <v>400</v>
      </c>
      <c r="Z53" s="87" t="s">
        <v>405</v>
      </c>
      <c r="AA53" s="87" t="s">
        <v>409</v>
      </c>
      <c r="AB53" s="87" t="s">
        <v>411</v>
      </c>
      <c r="AC53" s="87" t="s">
        <v>414</v>
      </c>
      <c r="AD53" s="87" t="s">
        <v>421</v>
      </c>
      <c r="AE53" s="87" t="s">
        <v>429</v>
      </c>
      <c r="AF53" s="87" t="s">
        <v>431</v>
      </c>
      <c r="AG53" s="87" t="s">
        <v>432</v>
      </c>
      <c r="AH53" s="87" t="s">
        <v>440</v>
      </c>
      <c r="AI53" s="87" t="s">
        <v>441</v>
      </c>
      <c r="AJ53" s="87" t="s">
        <v>442</v>
      </c>
      <c r="AK53" s="87" t="s">
        <v>443</v>
      </c>
      <c r="AL53" s="87" t="s">
        <v>445</v>
      </c>
      <c r="AM53" s="87" t="s">
        <v>447</v>
      </c>
      <c r="AN53" s="87" t="s">
        <v>448</v>
      </c>
      <c r="AO53" s="87" t="s">
        <v>467</v>
      </c>
      <c r="AP53" s="87" t="s">
        <v>469</v>
      </c>
      <c r="AQ53" s="87" t="s">
        <v>471</v>
      </c>
      <c r="AR53" s="87" t="s">
        <v>605</v>
      </c>
      <c r="AS53" s="87" t="s">
        <v>608</v>
      </c>
    </row>
    <row r="54" spans="1:33" ht="12.75">
      <c r="A54" s="243" t="s">
        <v>35</v>
      </c>
      <c r="B54" s="240"/>
      <c r="C54" s="240"/>
      <c r="E54" s="119" t="s">
        <v>77</v>
      </c>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row>
    <row r="55" spans="1:45" ht="12.75">
      <c r="A55" s="240" t="s">
        <v>36</v>
      </c>
      <c r="B55" s="240"/>
      <c r="C55" s="240"/>
      <c r="E55" s="93" t="s">
        <v>17</v>
      </c>
      <c r="F55" s="2">
        <v>757</v>
      </c>
      <c r="G55" s="2">
        <v>1647</v>
      </c>
      <c r="H55" s="2">
        <v>2799</v>
      </c>
      <c r="I55" s="2">
        <v>4475</v>
      </c>
      <c r="J55" s="2">
        <v>-5</v>
      </c>
      <c r="K55" s="2">
        <v>249</v>
      </c>
      <c r="L55" s="2">
        <v>1535</v>
      </c>
      <c r="M55" s="2">
        <v>1188</v>
      </c>
      <c r="N55" s="2">
        <v>-386</v>
      </c>
      <c r="O55" s="2">
        <v>666</v>
      </c>
      <c r="P55" s="2">
        <v>2956</v>
      </c>
      <c r="Q55" s="2">
        <v>3761</v>
      </c>
      <c r="R55" s="2">
        <v>1231</v>
      </c>
      <c r="S55" s="2">
        <v>2501</v>
      </c>
      <c r="T55" s="2">
        <v>4478</v>
      </c>
      <c r="U55" s="2">
        <v>5430</v>
      </c>
      <c r="V55" s="2">
        <v>696</v>
      </c>
      <c r="W55" s="2">
        <v>1441</v>
      </c>
      <c r="X55" s="2">
        <v>2505</v>
      </c>
      <c r="Y55" s="2">
        <v>3017</v>
      </c>
      <c r="Z55" s="2">
        <v>907</v>
      </c>
      <c r="AA55" s="2">
        <v>2019</v>
      </c>
      <c r="AB55" s="2">
        <v>3442</v>
      </c>
      <c r="AC55" s="2">
        <v>4000</v>
      </c>
      <c r="AD55" s="2">
        <v>638</v>
      </c>
      <c r="AE55" s="2">
        <v>1675</v>
      </c>
      <c r="AF55" s="2">
        <v>2750</v>
      </c>
      <c r="AG55" s="2">
        <v>1580</v>
      </c>
      <c r="AH55" s="106">
        <v>731</v>
      </c>
      <c r="AI55" s="106">
        <v>794</v>
      </c>
      <c r="AJ55" s="106">
        <v>2186</v>
      </c>
      <c r="AK55" s="106">
        <v>3581</v>
      </c>
      <c r="AL55" s="106">
        <v>516</v>
      </c>
      <c r="AM55" s="106">
        <v>1437</v>
      </c>
      <c r="AN55" s="106">
        <v>2943</v>
      </c>
      <c r="AO55" s="106">
        <v>2741</v>
      </c>
      <c r="AP55" s="106">
        <v>1268</v>
      </c>
      <c r="AQ55" s="106">
        <v>2832</v>
      </c>
      <c r="AR55" s="106">
        <v>4658</v>
      </c>
      <c r="AS55" s="106">
        <v>6274</v>
      </c>
    </row>
    <row r="56" spans="1:45" ht="12.75">
      <c r="A56" s="240" t="s">
        <v>36</v>
      </c>
      <c r="B56" s="240"/>
      <c r="C56" s="240"/>
      <c r="E56" s="93" t="s">
        <v>78</v>
      </c>
      <c r="F56" s="2">
        <v>692</v>
      </c>
      <c r="G56" s="2">
        <v>1384</v>
      </c>
      <c r="H56" s="2">
        <v>2007</v>
      </c>
      <c r="I56" s="2">
        <v>2738</v>
      </c>
      <c r="J56" s="2">
        <v>689</v>
      </c>
      <c r="K56" s="2">
        <v>1384</v>
      </c>
      <c r="L56" s="2">
        <v>2134</v>
      </c>
      <c r="M56" s="2">
        <v>3010</v>
      </c>
      <c r="N56" s="2">
        <v>871</v>
      </c>
      <c r="O56" s="2">
        <v>1757</v>
      </c>
      <c r="P56" s="2">
        <v>2568</v>
      </c>
      <c r="Q56" s="2">
        <v>3442</v>
      </c>
      <c r="R56" s="2">
        <v>816</v>
      </c>
      <c r="S56" s="2">
        <v>1665</v>
      </c>
      <c r="T56" s="2">
        <v>2479</v>
      </c>
      <c r="U56" s="2">
        <v>3328</v>
      </c>
      <c r="V56" s="2">
        <v>761</v>
      </c>
      <c r="W56" s="2">
        <v>1567</v>
      </c>
      <c r="X56" s="2">
        <v>2355</v>
      </c>
      <c r="Y56" s="2">
        <v>3173</v>
      </c>
      <c r="Z56" s="2">
        <v>820</v>
      </c>
      <c r="AA56" s="2">
        <v>1646</v>
      </c>
      <c r="AB56" s="2">
        <v>2455</v>
      </c>
      <c r="AC56" s="2">
        <v>3251</v>
      </c>
      <c r="AD56" s="2">
        <v>822</v>
      </c>
      <c r="AE56" s="2">
        <v>1631</v>
      </c>
      <c r="AF56" s="2">
        <v>2480</v>
      </c>
      <c r="AG56" s="2">
        <v>3356</v>
      </c>
      <c r="AH56" s="106">
        <v>868</v>
      </c>
      <c r="AI56" s="106">
        <v>1781</v>
      </c>
      <c r="AJ56" s="106">
        <v>2728</v>
      </c>
      <c r="AK56" s="106">
        <v>3671</v>
      </c>
      <c r="AL56" s="106">
        <v>960</v>
      </c>
      <c r="AM56" s="106">
        <v>1976</v>
      </c>
      <c r="AN56" s="106">
        <v>2956</v>
      </c>
      <c r="AO56" s="106">
        <v>3936</v>
      </c>
      <c r="AP56" s="106">
        <v>982</v>
      </c>
      <c r="AQ56" s="106">
        <v>1887</v>
      </c>
      <c r="AR56" s="106">
        <v>2889</v>
      </c>
      <c r="AS56" s="106">
        <v>3934</v>
      </c>
    </row>
    <row r="57" spans="1:45" ht="12.75">
      <c r="A57" s="240" t="s">
        <v>36</v>
      </c>
      <c r="B57" s="240"/>
      <c r="C57" s="240"/>
      <c r="E57" s="93" t="s">
        <v>79</v>
      </c>
      <c r="F57" s="2">
        <v>-683</v>
      </c>
      <c r="G57" s="2">
        <v>-764</v>
      </c>
      <c r="H57" s="2">
        <v>-833</v>
      </c>
      <c r="I57" s="2">
        <v>-701</v>
      </c>
      <c r="J57" s="2">
        <v>241</v>
      </c>
      <c r="K57" s="2">
        <v>707</v>
      </c>
      <c r="L57" s="2">
        <v>405</v>
      </c>
      <c r="M57" s="2">
        <v>1134</v>
      </c>
      <c r="N57" s="2">
        <v>143</v>
      </c>
      <c r="O57" s="2">
        <v>-118</v>
      </c>
      <c r="P57" s="2">
        <v>-507</v>
      </c>
      <c r="Q57" s="2">
        <v>434</v>
      </c>
      <c r="R57" s="2">
        <v>-152</v>
      </c>
      <c r="S57" s="2">
        <v>-68</v>
      </c>
      <c r="T57" s="2">
        <v>-293</v>
      </c>
      <c r="U57" s="2">
        <v>294</v>
      </c>
      <c r="V57" s="2">
        <v>-221</v>
      </c>
      <c r="W57" s="2">
        <v>-415</v>
      </c>
      <c r="X57" s="2">
        <v>-518</v>
      </c>
      <c r="Y57" s="2">
        <v>110</v>
      </c>
      <c r="Z57" s="2">
        <v>-143</v>
      </c>
      <c r="AA57" s="2">
        <v>-320</v>
      </c>
      <c r="AB57" s="2">
        <v>-467</v>
      </c>
      <c r="AC57" s="2">
        <v>457</v>
      </c>
      <c r="AD57" s="2">
        <v>-62</v>
      </c>
      <c r="AE57" s="2">
        <v>-157</v>
      </c>
      <c r="AF57" s="2">
        <v>-286</v>
      </c>
      <c r="AG57" s="2">
        <v>1855</v>
      </c>
      <c r="AH57" s="106">
        <v>-200</v>
      </c>
      <c r="AI57" s="106">
        <v>651</v>
      </c>
      <c r="AJ57" s="106">
        <v>411</v>
      </c>
      <c r="AK57" s="106">
        <v>173</v>
      </c>
      <c r="AL57" s="106">
        <v>-208</v>
      </c>
      <c r="AM57" s="106">
        <v>-322</v>
      </c>
      <c r="AN57" s="106">
        <v>-546</v>
      </c>
      <c r="AO57" s="106">
        <v>-557</v>
      </c>
      <c r="AP57" s="106"/>
      <c r="AQ57" s="106"/>
      <c r="AR57" s="106"/>
      <c r="AS57" s="106"/>
    </row>
    <row r="58" spans="1:45" ht="12.75">
      <c r="A58" s="240" t="s">
        <v>36</v>
      </c>
      <c r="B58" s="240"/>
      <c r="C58" s="240"/>
      <c r="E58" s="114" t="s">
        <v>419</v>
      </c>
      <c r="F58" s="2">
        <v>20</v>
      </c>
      <c r="G58" s="2">
        <v>35</v>
      </c>
      <c r="H58" s="2">
        <v>71</v>
      </c>
      <c r="I58" s="2">
        <v>-118</v>
      </c>
      <c r="J58" s="2">
        <v>-166</v>
      </c>
      <c r="K58" s="2">
        <v>-203</v>
      </c>
      <c r="L58" s="2">
        <v>-208</v>
      </c>
      <c r="M58" s="2">
        <v>-239</v>
      </c>
      <c r="N58" s="2">
        <v>0</v>
      </c>
      <c r="O58" s="2">
        <v>4</v>
      </c>
      <c r="P58" s="2">
        <v>11</v>
      </c>
      <c r="Q58" s="2">
        <v>18</v>
      </c>
      <c r="R58" s="2">
        <v>7</v>
      </c>
      <c r="S58" s="2">
        <v>33</v>
      </c>
      <c r="T58" s="2">
        <v>54</v>
      </c>
      <c r="U58" s="2">
        <v>77</v>
      </c>
      <c r="V58" s="2">
        <v>-58</v>
      </c>
      <c r="W58" s="2">
        <v>-161</v>
      </c>
      <c r="X58" s="2">
        <v>-157</v>
      </c>
      <c r="Y58" s="2">
        <v>-178</v>
      </c>
      <c r="Z58" s="2">
        <v>-104</v>
      </c>
      <c r="AA58" s="2">
        <v>-95</v>
      </c>
      <c r="AB58" s="2">
        <v>0</v>
      </c>
      <c r="AC58" s="2">
        <v>81</v>
      </c>
      <c r="AD58" s="2">
        <v>80</v>
      </c>
      <c r="AE58" s="2">
        <v>156</v>
      </c>
      <c r="AF58" s="2">
        <v>268</v>
      </c>
      <c r="AG58" s="2">
        <v>222</v>
      </c>
      <c r="AH58" s="106">
        <v>89</v>
      </c>
      <c r="AI58" s="106">
        <v>123</v>
      </c>
      <c r="AJ58" s="106">
        <v>150</v>
      </c>
      <c r="AK58" s="106">
        <v>93</v>
      </c>
      <c r="AL58" s="106">
        <v>90</v>
      </c>
      <c r="AM58" s="106">
        <v>195</v>
      </c>
      <c r="AN58" s="106">
        <v>335</v>
      </c>
      <c r="AO58" s="106">
        <v>374</v>
      </c>
      <c r="AP58" s="106">
        <v>70</v>
      </c>
      <c r="AQ58" s="106">
        <v>308</v>
      </c>
      <c r="AR58" s="106">
        <v>346</v>
      </c>
      <c r="AS58" s="106">
        <v>337</v>
      </c>
    </row>
    <row r="59" spans="1:45" ht="12.75">
      <c r="A59" s="240" t="s">
        <v>36</v>
      </c>
      <c r="B59" s="240"/>
      <c r="C59" s="240"/>
      <c r="E59" s="93" t="s">
        <v>80</v>
      </c>
      <c r="F59" s="2">
        <v>-128</v>
      </c>
      <c r="G59" s="2">
        <v>-198</v>
      </c>
      <c r="H59" s="2">
        <v>-212</v>
      </c>
      <c r="I59" s="2">
        <v>-271</v>
      </c>
      <c r="J59" s="2">
        <v>-311</v>
      </c>
      <c r="K59" s="2">
        <v>-383</v>
      </c>
      <c r="L59" s="2">
        <v>-368</v>
      </c>
      <c r="M59" s="2">
        <v>-729</v>
      </c>
      <c r="N59" s="2">
        <v>-42</v>
      </c>
      <c r="O59" s="2">
        <v>-223</v>
      </c>
      <c r="P59" s="2">
        <v>-220</v>
      </c>
      <c r="Q59" s="2">
        <v>-348</v>
      </c>
      <c r="R59" s="2">
        <v>9</v>
      </c>
      <c r="S59" s="2">
        <v>27</v>
      </c>
      <c r="T59" s="2">
        <v>5</v>
      </c>
      <c r="U59" s="2">
        <v>-72</v>
      </c>
      <c r="V59" s="2">
        <v>-33</v>
      </c>
      <c r="W59" s="2">
        <v>-76</v>
      </c>
      <c r="X59" s="2">
        <v>30</v>
      </c>
      <c r="Y59" s="2">
        <v>-214</v>
      </c>
      <c r="Z59" s="2">
        <v>-102</v>
      </c>
      <c r="AA59" s="2">
        <v>-286</v>
      </c>
      <c r="AB59" s="2">
        <v>-450</v>
      </c>
      <c r="AC59" s="2">
        <v>-673</v>
      </c>
      <c r="AD59" s="2">
        <v>-80</v>
      </c>
      <c r="AE59" s="2">
        <v>-280</v>
      </c>
      <c r="AF59" s="2">
        <v>-418</v>
      </c>
      <c r="AG59" s="2">
        <v>-540</v>
      </c>
      <c r="AH59" s="106">
        <v>-105</v>
      </c>
      <c r="AI59" s="106">
        <v>-316</v>
      </c>
      <c r="AJ59" s="106">
        <v>-420</v>
      </c>
      <c r="AK59" s="106">
        <v>-488</v>
      </c>
      <c r="AL59" s="106">
        <v>-16</v>
      </c>
      <c r="AM59" s="106">
        <v>-123</v>
      </c>
      <c r="AN59" s="106">
        <v>-224</v>
      </c>
      <c r="AO59" s="106">
        <v>-513</v>
      </c>
      <c r="AP59" s="106">
        <v>-61</v>
      </c>
      <c r="AQ59" s="106">
        <v>-178</v>
      </c>
      <c r="AR59" s="106">
        <v>-230</v>
      </c>
      <c r="AS59" s="106">
        <v>-514</v>
      </c>
    </row>
    <row r="60" spans="1:45" ht="12.75">
      <c r="A60" s="240" t="s">
        <v>36</v>
      </c>
      <c r="B60" s="240"/>
      <c r="C60" s="240"/>
      <c r="E60" s="93" t="s">
        <v>81</v>
      </c>
      <c r="F60" s="2">
        <v>-118</v>
      </c>
      <c r="G60" s="2">
        <v>-398</v>
      </c>
      <c r="H60" s="2">
        <v>-540</v>
      </c>
      <c r="I60" s="2">
        <v>-815</v>
      </c>
      <c r="J60" s="2">
        <v>-308</v>
      </c>
      <c r="K60" s="2">
        <v>-517</v>
      </c>
      <c r="L60" s="2">
        <v>-646</v>
      </c>
      <c r="M60" s="2">
        <v>-918</v>
      </c>
      <c r="N60" s="2">
        <v>-256</v>
      </c>
      <c r="O60" s="2">
        <v>-490</v>
      </c>
      <c r="P60" s="2">
        <v>-601</v>
      </c>
      <c r="Q60" s="2">
        <v>-929</v>
      </c>
      <c r="R60" s="2">
        <v>226</v>
      </c>
      <c r="S60" s="2">
        <v>48</v>
      </c>
      <c r="T60" s="2">
        <v>-836</v>
      </c>
      <c r="U60" s="2">
        <v>-1316</v>
      </c>
      <c r="V60" s="2">
        <v>-382</v>
      </c>
      <c r="W60" s="2">
        <v>-952</v>
      </c>
      <c r="X60" s="2">
        <v>-1179</v>
      </c>
      <c r="Y60" s="2">
        <v>-1625</v>
      </c>
      <c r="Z60" s="2">
        <v>-575</v>
      </c>
      <c r="AA60" s="2">
        <v>-957</v>
      </c>
      <c r="AB60" s="2">
        <v>-1099</v>
      </c>
      <c r="AC60" s="2">
        <v>-1564</v>
      </c>
      <c r="AD60" s="2">
        <v>-263</v>
      </c>
      <c r="AE60" s="2">
        <v>-463</v>
      </c>
      <c r="AF60" s="2">
        <v>-938</v>
      </c>
      <c r="AG60" s="2">
        <v>-1343</v>
      </c>
      <c r="AH60" s="106">
        <v>-226</v>
      </c>
      <c r="AI60" s="106">
        <v>-502</v>
      </c>
      <c r="AJ60" s="106">
        <v>-601</v>
      </c>
      <c r="AK60" s="106">
        <v>-985</v>
      </c>
      <c r="AL60" s="106">
        <v>-281</v>
      </c>
      <c r="AM60" s="106">
        <v>-701</v>
      </c>
      <c r="AN60" s="106">
        <v>-858</v>
      </c>
      <c r="AO60" s="106">
        <v>-1277</v>
      </c>
      <c r="AP60" s="106">
        <v>-201</v>
      </c>
      <c r="AQ60" s="106">
        <v>-631</v>
      </c>
      <c r="AR60" s="106">
        <v>-855</v>
      </c>
      <c r="AS60" s="106">
        <v>-1194</v>
      </c>
    </row>
    <row r="61" spans="1:45" ht="12.75">
      <c r="A61" s="240" t="s">
        <v>37</v>
      </c>
      <c r="B61" s="240"/>
      <c r="C61" s="240"/>
      <c r="E61" s="119" t="s">
        <v>82</v>
      </c>
      <c r="F61" s="1">
        <v>540</v>
      </c>
      <c r="G61" s="1">
        <v>1706</v>
      </c>
      <c r="H61" s="1">
        <v>3292</v>
      </c>
      <c r="I61" s="1">
        <v>5308</v>
      </c>
      <c r="J61" s="1">
        <v>140</v>
      </c>
      <c r="K61" s="1">
        <v>1237</v>
      </c>
      <c r="L61" s="1">
        <v>2852</v>
      </c>
      <c r="M61" s="1">
        <v>3446</v>
      </c>
      <c r="N61" s="1">
        <v>330</v>
      </c>
      <c r="O61" s="1">
        <v>1596</v>
      </c>
      <c r="P61" s="1">
        <v>4207</v>
      </c>
      <c r="Q61" s="1">
        <v>6378</v>
      </c>
      <c r="R61" s="1">
        <v>2137</v>
      </c>
      <c r="S61" s="1">
        <v>4206</v>
      </c>
      <c r="T61" s="1">
        <v>5887</v>
      </c>
      <c r="U61" s="1">
        <v>7741</v>
      </c>
      <c r="V61" s="1">
        <v>763</v>
      </c>
      <c r="W61" s="1">
        <v>1404</v>
      </c>
      <c r="X61" s="1">
        <v>3036</v>
      </c>
      <c r="Y61" s="1">
        <v>4283</v>
      </c>
      <c r="Z61" s="1">
        <v>803</v>
      </c>
      <c r="AA61" s="1">
        <v>2007</v>
      </c>
      <c r="AB61" s="1">
        <v>3881</v>
      </c>
      <c r="AC61" s="1">
        <v>5552</v>
      </c>
      <c r="AD61" s="1">
        <v>1135</v>
      </c>
      <c r="AE61" s="1">
        <v>2562</v>
      </c>
      <c r="AF61" s="1">
        <v>3856</v>
      </c>
      <c r="AG61" s="1">
        <v>5130</v>
      </c>
      <c r="AH61" s="130">
        <v>1157</v>
      </c>
      <c r="AI61" s="130">
        <v>2531</v>
      </c>
      <c r="AJ61" s="130">
        <v>4454</v>
      </c>
      <c r="AK61" s="130">
        <v>6045</v>
      </c>
      <c r="AL61" s="130">
        <v>1061</v>
      </c>
      <c r="AM61" s="130">
        <v>2462</v>
      </c>
      <c r="AN61" s="130">
        <v>4606</v>
      </c>
      <c r="AO61" s="130">
        <v>4704</v>
      </c>
      <c r="AP61" s="130">
        <v>2058</v>
      </c>
      <c r="AQ61" s="130">
        <v>4218</v>
      </c>
      <c r="AR61" s="130">
        <v>6808</v>
      </c>
      <c r="AS61" s="130">
        <v>8837</v>
      </c>
    </row>
    <row r="62" spans="1:45" ht="12.75">
      <c r="A62" s="240" t="s">
        <v>38</v>
      </c>
      <c r="B62" s="240"/>
      <c r="C62" s="240"/>
      <c r="E62" s="93"/>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106"/>
      <c r="AI62" s="106"/>
      <c r="AJ62" s="106"/>
      <c r="AK62" s="106"/>
      <c r="AL62" s="106"/>
      <c r="AM62" s="106"/>
      <c r="AN62" s="106"/>
      <c r="AO62" s="106"/>
      <c r="AP62" s="106"/>
      <c r="AQ62" s="106"/>
      <c r="AR62" s="106"/>
      <c r="AS62" s="106"/>
    </row>
    <row r="63" spans="1:45" ht="12.75">
      <c r="A63" s="243" t="s">
        <v>35</v>
      </c>
      <c r="B63" s="240"/>
      <c r="C63" s="240"/>
      <c r="E63" s="119" t="s">
        <v>83</v>
      </c>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106"/>
      <c r="AI63" s="106"/>
      <c r="AJ63" s="106"/>
      <c r="AK63" s="106"/>
      <c r="AL63" s="106"/>
      <c r="AM63" s="106"/>
      <c r="AN63" s="106"/>
      <c r="AO63" s="106"/>
      <c r="AP63" s="106"/>
      <c r="AQ63" s="106"/>
      <c r="AR63" s="106"/>
      <c r="AS63" s="106"/>
    </row>
    <row r="64" spans="1:45" ht="12.75">
      <c r="A64" s="240" t="s">
        <v>36</v>
      </c>
      <c r="B64" s="240"/>
      <c r="C64" s="240"/>
      <c r="E64" s="93" t="s">
        <v>84</v>
      </c>
      <c r="F64" s="2">
        <v>-1545</v>
      </c>
      <c r="G64" s="2">
        <v>-1791</v>
      </c>
      <c r="H64" s="2">
        <v>-1582</v>
      </c>
      <c r="I64" s="2">
        <v>-206</v>
      </c>
      <c r="J64" s="2">
        <v>-697</v>
      </c>
      <c r="K64" s="2">
        <v>-1176</v>
      </c>
      <c r="L64" s="2">
        <v>-1242</v>
      </c>
      <c r="M64" s="2">
        <v>923</v>
      </c>
      <c r="N64" s="2">
        <v>14</v>
      </c>
      <c r="O64" s="2">
        <v>543</v>
      </c>
      <c r="P64" s="2">
        <v>1005</v>
      </c>
      <c r="Q64" s="2">
        <v>2276</v>
      </c>
      <c r="R64" s="2">
        <v>-1134</v>
      </c>
      <c r="S64" s="2">
        <v>-2412</v>
      </c>
      <c r="T64" s="2">
        <v>-2845</v>
      </c>
      <c r="U64" s="2">
        <v>-1755</v>
      </c>
      <c r="V64" s="2">
        <v>-1076</v>
      </c>
      <c r="W64" s="2">
        <v>-1659</v>
      </c>
      <c r="X64" s="2">
        <v>-1380</v>
      </c>
      <c r="Y64" s="2">
        <v>269</v>
      </c>
      <c r="Z64" s="2">
        <v>-908</v>
      </c>
      <c r="AA64" s="2">
        <v>-2197</v>
      </c>
      <c r="AB64" s="2">
        <v>-2703</v>
      </c>
      <c r="AC64" s="2">
        <v>-1710</v>
      </c>
      <c r="AD64" s="2">
        <v>-1156</v>
      </c>
      <c r="AE64" s="2">
        <v>-1126</v>
      </c>
      <c r="AF64" s="2">
        <v>-1141</v>
      </c>
      <c r="AG64" s="2">
        <v>165</v>
      </c>
      <c r="AH64" s="106">
        <v>-1457</v>
      </c>
      <c r="AI64" s="106">
        <v>-1876</v>
      </c>
      <c r="AJ64" s="106">
        <v>-2449</v>
      </c>
      <c r="AK64" s="106">
        <v>-929</v>
      </c>
      <c r="AL64" s="106">
        <v>-984</v>
      </c>
      <c r="AM64" s="106">
        <v>-942</v>
      </c>
      <c r="AN64" s="106">
        <v>-1688</v>
      </c>
      <c r="AO64" s="106">
        <v>-306</v>
      </c>
      <c r="AP64" s="106">
        <v>-1420</v>
      </c>
      <c r="AQ64" s="106">
        <v>-1393</v>
      </c>
      <c r="AR64" s="106">
        <v>-331</v>
      </c>
      <c r="AS64" s="106">
        <v>1493</v>
      </c>
    </row>
    <row r="65" spans="1:45" ht="12.75">
      <c r="A65" s="240" t="s">
        <v>36</v>
      </c>
      <c r="B65" s="240"/>
      <c r="C65" s="240"/>
      <c r="E65" s="93" t="s">
        <v>85</v>
      </c>
      <c r="F65" s="2">
        <v>1108</v>
      </c>
      <c r="G65" s="2">
        <v>703</v>
      </c>
      <c r="H65" s="2">
        <v>120</v>
      </c>
      <c r="I65" s="2">
        <v>993</v>
      </c>
      <c r="J65" s="2">
        <v>782</v>
      </c>
      <c r="K65" s="2">
        <v>203</v>
      </c>
      <c r="L65" s="2">
        <v>-416</v>
      </c>
      <c r="M65" s="2">
        <v>1869</v>
      </c>
      <c r="N65" s="2">
        <v>570</v>
      </c>
      <c r="O65" s="2">
        <v>562</v>
      </c>
      <c r="P65" s="2">
        <v>-244</v>
      </c>
      <c r="Q65" s="2">
        <v>1209</v>
      </c>
      <c r="R65" s="2">
        <v>-535</v>
      </c>
      <c r="S65" s="2">
        <v>-420</v>
      </c>
      <c r="T65" s="2">
        <v>-343</v>
      </c>
      <c r="U65" s="2">
        <v>-216</v>
      </c>
      <c r="V65" s="2">
        <v>625</v>
      </c>
      <c r="W65" s="2">
        <v>1605</v>
      </c>
      <c r="X65" s="2">
        <v>647</v>
      </c>
      <c r="Y65" s="2">
        <v>244</v>
      </c>
      <c r="Z65" s="2">
        <v>860</v>
      </c>
      <c r="AA65" s="2">
        <v>1147</v>
      </c>
      <c r="AB65" s="2">
        <v>316</v>
      </c>
      <c r="AC65" s="2">
        <v>-119</v>
      </c>
      <c r="AD65" s="2">
        <v>-42</v>
      </c>
      <c r="AE65" s="2">
        <v>-1025</v>
      </c>
      <c r="AF65" s="2">
        <v>-958</v>
      </c>
      <c r="AG65" s="2">
        <v>-1932</v>
      </c>
      <c r="AH65" s="106">
        <v>1383</v>
      </c>
      <c r="AI65" s="106">
        <v>2651</v>
      </c>
      <c r="AJ65" s="106">
        <v>1916</v>
      </c>
      <c r="AK65" s="106">
        <v>195</v>
      </c>
      <c r="AL65" s="106">
        <v>1805</v>
      </c>
      <c r="AM65" s="106">
        <v>1928</v>
      </c>
      <c r="AN65" s="106">
        <v>1544</v>
      </c>
      <c r="AO65" s="106">
        <v>1672</v>
      </c>
      <c r="AP65" s="106">
        <v>752</v>
      </c>
      <c r="AQ65" s="106">
        <v>763</v>
      </c>
      <c r="AR65" s="106">
        <v>236</v>
      </c>
      <c r="AS65" s="106">
        <v>-467</v>
      </c>
    </row>
    <row r="66" spans="1:45" ht="12.75">
      <c r="A66" s="240" t="s">
        <v>36</v>
      </c>
      <c r="B66" s="240"/>
      <c r="C66" s="240"/>
      <c r="E66" s="93" t="s">
        <v>86</v>
      </c>
      <c r="F66" s="2">
        <v>194</v>
      </c>
      <c r="G66" s="2">
        <v>76</v>
      </c>
      <c r="H66" s="2">
        <v>-405</v>
      </c>
      <c r="I66" s="2">
        <v>-885</v>
      </c>
      <c r="J66" s="2">
        <v>101</v>
      </c>
      <c r="K66" s="2">
        <v>1498</v>
      </c>
      <c r="L66" s="2">
        <v>948</v>
      </c>
      <c r="M66" s="2">
        <v>-686</v>
      </c>
      <c r="N66" s="2">
        <v>-414</v>
      </c>
      <c r="O66" s="2">
        <v>937</v>
      </c>
      <c r="P66" s="2">
        <v>1454</v>
      </c>
      <c r="Q66" s="2">
        <v>628</v>
      </c>
      <c r="R66" s="2">
        <v>343</v>
      </c>
      <c r="S66" s="2">
        <v>3296</v>
      </c>
      <c r="T66" s="2">
        <v>3113</v>
      </c>
      <c r="U66" s="2">
        <v>2624</v>
      </c>
      <c r="V66" s="2">
        <v>-106</v>
      </c>
      <c r="W66" s="2">
        <v>1333</v>
      </c>
      <c r="X66" s="2">
        <v>1611</v>
      </c>
      <c r="Y66" s="2">
        <v>1379</v>
      </c>
      <c r="Z66" s="2">
        <v>-90</v>
      </c>
      <c r="AA66" s="2">
        <v>2856</v>
      </c>
      <c r="AB66" s="2">
        <v>2790</v>
      </c>
      <c r="AC66" s="2">
        <v>3086</v>
      </c>
      <c r="AD66" s="2">
        <v>-897</v>
      </c>
      <c r="AE66" s="2">
        <v>999</v>
      </c>
      <c r="AF66" s="2">
        <v>826</v>
      </c>
      <c r="AG66" s="2">
        <v>609</v>
      </c>
      <c r="AH66" s="106">
        <v>663</v>
      </c>
      <c r="AI66" s="106">
        <v>1310</v>
      </c>
      <c r="AJ66" s="106">
        <v>2303</v>
      </c>
      <c r="AK66" s="106">
        <v>3160</v>
      </c>
      <c r="AL66" s="106">
        <v>-557</v>
      </c>
      <c r="AM66" s="106">
        <v>838</v>
      </c>
      <c r="AN66" s="106">
        <v>2040</v>
      </c>
      <c r="AO66" s="106">
        <v>1798</v>
      </c>
      <c r="AP66" s="106">
        <v>-709</v>
      </c>
      <c r="AQ66" s="106">
        <v>591</v>
      </c>
      <c r="AR66" s="106">
        <v>-177</v>
      </c>
      <c r="AS66" s="106">
        <v>72</v>
      </c>
    </row>
    <row r="67" spans="1:45" ht="12.75">
      <c r="A67" s="240" t="s">
        <v>36</v>
      </c>
      <c r="B67" s="240"/>
      <c r="C67" s="240"/>
      <c r="E67" s="93" t="s">
        <v>359</v>
      </c>
      <c r="F67" s="2"/>
      <c r="G67" s="2"/>
      <c r="H67" s="2"/>
      <c r="I67" s="2"/>
      <c r="J67" s="2"/>
      <c r="K67" s="2"/>
      <c r="L67" s="2"/>
      <c r="M67" s="2"/>
      <c r="N67" s="2"/>
      <c r="O67" s="2"/>
      <c r="P67" s="2"/>
      <c r="Q67" s="2">
        <v>-3935</v>
      </c>
      <c r="R67" s="2">
        <v>0</v>
      </c>
      <c r="S67" s="2">
        <v>0</v>
      </c>
      <c r="T67" s="2">
        <v>0</v>
      </c>
      <c r="U67" s="2">
        <v>0</v>
      </c>
      <c r="V67" s="2">
        <v>0</v>
      </c>
      <c r="W67" s="2">
        <v>0</v>
      </c>
      <c r="X67" s="2">
        <v>0</v>
      </c>
      <c r="Y67" s="2">
        <v>0</v>
      </c>
      <c r="Z67" s="2">
        <v>0</v>
      </c>
      <c r="AA67" s="2"/>
      <c r="AB67" s="2"/>
      <c r="AC67" s="2"/>
      <c r="AD67" s="2"/>
      <c r="AE67" s="2"/>
      <c r="AF67" s="2"/>
      <c r="AG67" s="2"/>
      <c r="AH67" s="106"/>
      <c r="AI67" s="106"/>
      <c r="AJ67" s="106"/>
      <c r="AK67" s="106"/>
      <c r="AL67" s="106"/>
      <c r="AM67" s="106"/>
      <c r="AN67" s="106"/>
      <c r="AO67" s="106"/>
      <c r="AP67" s="106"/>
      <c r="AQ67" s="106"/>
      <c r="AR67" s="106"/>
      <c r="AS67" s="106"/>
    </row>
    <row r="68" spans="1:45" ht="12.75">
      <c r="A68" s="240" t="s">
        <v>36</v>
      </c>
      <c r="B68" s="240"/>
      <c r="C68" s="240"/>
      <c r="E68" s="114" t="s">
        <v>420</v>
      </c>
      <c r="F68" s="2">
        <v>-32</v>
      </c>
      <c r="G68" s="2">
        <v>46</v>
      </c>
      <c r="H68" s="2">
        <v>976</v>
      </c>
      <c r="I68" s="2">
        <v>-54</v>
      </c>
      <c r="J68" s="2">
        <v>-365</v>
      </c>
      <c r="K68" s="2">
        <v>210</v>
      </c>
      <c r="L68" s="2">
        <v>587</v>
      </c>
      <c r="M68" s="2">
        <v>-603</v>
      </c>
      <c r="N68" s="2">
        <v>139</v>
      </c>
      <c r="O68" s="2">
        <v>1077</v>
      </c>
      <c r="P68" s="2">
        <v>2234</v>
      </c>
      <c r="Q68" s="2">
        <v>1741</v>
      </c>
      <c r="R68" s="2">
        <v>-20</v>
      </c>
      <c r="S68" s="2">
        <v>-37</v>
      </c>
      <c r="T68" s="2">
        <v>69</v>
      </c>
      <c r="U68" s="2">
        <v>-714</v>
      </c>
      <c r="V68" s="2">
        <v>-731</v>
      </c>
      <c r="W68" s="2">
        <v>-1300</v>
      </c>
      <c r="X68" s="2">
        <v>-225</v>
      </c>
      <c r="Y68" s="2">
        <v>-776</v>
      </c>
      <c r="Z68" s="2">
        <v>-382</v>
      </c>
      <c r="AA68" s="2">
        <v>467</v>
      </c>
      <c r="AB68" s="2">
        <v>688</v>
      </c>
      <c r="AC68" s="2">
        <v>271</v>
      </c>
      <c r="AD68" s="2">
        <v>-1349</v>
      </c>
      <c r="AE68" s="2">
        <v>-528</v>
      </c>
      <c r="AF68" s="2">
        <v>-239</v>
      </c>
      <c r="AG68" s="2">
        <v>483</v>
      </c>
      <c r="AH68" s="106">
        <v>-1749</v>
      </c>
      <c r="AI68" s="106">
        <v>-1288</v>
      </c>
      <c r="AJ68" s="106">
        <v>-851</v>
      </c>
      <c r="AK68" s="106">
        <v>-649</v>
      </c>
      <c r="AL68" s="106">
        <v>-1418</v>
      </c>
      <c r="AM68" s="106">
        <v>-953</v>
      </c>
      <c r="AN68" s="106">
        <v>370</v>
      </c>
      <c r="AO68" s="106">
        <v>399</v>
      </c>
      <c r="AP68" s="106">
        <v>-994</v>
      </c>
      <c r="AQ68" s="106">
        <v>-477</v>
      </c>
      <c r="AR68" s="106">
        <v>604</v>
      </c>
      <c r="AS68" s="106">
        <v>230</v>
      </c>
    </row>
    <row r="69" spans="1:45" ht="12.75">
      <c r="A69" s="240" t="s">
        <v>37</v>
      </c>
      <c r="B69" s="240"/>
      <c r="C69" s="240"/>
      <c r="E69" s="119" t="s">
        <v>87</v>
      </c>
      <c r="F69" s="1">
        <v>-275</v>
      </c>
      <c r="G69" s="1">
        <v>-966</v>
      </c>
      <c r="H69" s="1">
        <v>-891</v>
      </c>
      <c r="I69" s="1">
        <v>-152</v>
      </c>
      <c r="J69" s="1">
        <v>-179</v>
      </c>
      <c r="K69" s="1">
        <v>735</v>
      </c>
      <c r="L69" s="1">
        <v>-123</v>
      </c>
      <c r="M69" s="1">
        <v>1503</v>
      </c>
      <c r="N69" s="1">
        <v>309</v>
      </c>
      <c r="O69" s="1">
        <v>3119</v>
      </c>
      <c r="P69" s="1">
        <v>4449</v>
      </c>
      <c r="Q69" s="1">
        <v>1919</v>
      </c>
      <c r="R69" s="1">
        <v>-1346</v>
      </c>
      <c r="S69" s="1">
        <v>427</v>
      </c>
      <c r="T69" s="1">
        <v>-6</v>
      </c>
      <c r="U69" s="1">
        <v>-61</v>
      </c>
      <c r="V69" s="1">
        <v>-1288</v>
      </c>
      <c r="W69" s="1">
        <v>-21</v>
      </c>
      <c r="X69" s="1">
        <v>653</v>
      </c>
      <c r="Y69" s="1">
        <v>1116</v>
      </c>
      <c r="Z69" s="1">
        <v>-520</v>
      </c>
      <c r="AA69" s="1">
        <v>2273</v>
      </c>
      <c r="AB69" s="1">
        <v>1091</v>
      </c>
      <c r="AC69" s="1">
        <v>1528</v>
      </c>
      <c r="AD69" s="1">
        <v>-3444</v>
      </c>
      <c r="AE69" s="1">
        <v>-1680</v>
      </c>
      <c r="AF69" s="1">
        <v>-1512</v>
      </c>
      <c r="AG69" s="1">
        <v>-675</v>
      </c>
      <c r="AH69" s="130">
        <v>-1160</v>
      </c>
      <c r="AI69" s="130">
        <v>797</v>
      </c>
      <c r="AJ69" s="130">
        <v>919</v>
      </c>
      <c r="AK69" s="130">
        <v>1777</v>
      </c>
      <c r="AL69" s="130">
        <v>-1154</v>
      </c>
      <c r="AM69" s="130">
        <v>871</v>
      </c>
      <c r="AN69" s="130">
        <v>2266</v>
      </c>
      <c r="AO69" s="130">
        <v>3563</v>
      </c>
      <c r="AP69" s="130">
        <v>-2371</v>
      </c>
      <c r="AQ69" s="130">
        <v>-516</v>
      </c>
      <c r="AR69" s="130">
        <v>332</v>
      </c>
      <c r="AS69" s="130">
        <v>1328</v>
      </c>
    </row>
    <row r="70" spans="1:45" ht="12.75">
      <c r="A70" s="240" t="s">
        <v>37</v>
      </c>
      <c r="B70" s="240"/>
      <c r="C70" s="240"/>
      <c r="E70" s="119" t="s">
        <v>88</v>
      </c>
      <c r="F70" s="1">
        <v>265</v>
      </c>
      <c r="G70" s="1">
        <v>740</v>
      </c>
      <c r="H70" s="1">
        <v>2401</v>
      </c>
      <c r="I70" s="1">
        <v>5156</v>
      </c>
      <c r="J70" s="1">
        <v>-39</v>
      </c>
      <c r="K70" s="1">
        <v>1972</v>
      </c>
      <c r="L70" s="1">
        <v>2729</v>
      </c>
      <c r="M70" s="1">
        <v>4949</v>
      </c>
      <c r="N70" s="1">
        <v>639</v>
      </c>
      <c r="O70" s="1">
        <v>4715</v>
      </c>
      <c r="P70" s="1">
        <v>8656</v>
      </c>
      <c r="Q70" s="1">
        <v>8297</v>
      </c>
      <c r="R70" s="1">
        <v>791</v>
      </c>
      <c r="S70" s="1">
        <v>4633</v>
      </c>
      <c r="T70" s="1">
        <v>5881</v>
      </c>
      <c r="U70" s="1">
        <v>7680</v>
      </c>
      <c r="V70" s="1">
        <v>-525</v>
      </c>
      <c r="W70" s="1">
        <v>1383</v>
      </c>
      <c r="X70" s="1">
        <v>3689</v>
      </c>
      <c r="Y70" s="1">
        <v>5399</v>
      </c>
      <c r="Z70" s="1">
        <v>283</v>
      </c>
      <c r="AA70" s="1">
        <v>4280</v>
      </c>
      <c r="AB70" s="1">
        <v>4972</v>
      </c>
      <c r="AC70" s="1">
        <v>7080</v>
      </c>
      <c r="AD70" s="1">
        <v>-2309</v>
      </c>
      <c r="AE70" s="1">
        <v>882</v>
      </c>
      <c r="AF70" s="1">
        <v>2344</v>
      </c>
      <c r="AG70" s="1">
        <v>4455</v>
      </c>
      <c r="AH70" s="130">
        <v>-3</v>
      </c>
      <c r="AI70" s="130">
        <v>3328</v>
      </c>
      <c r="AJ70" s="130">
        <v>5373</v>
      </c>
      <c r="AK70" s="130">
        <v>7822</v>
      </c>
      <c r="AL70" s="130">
        <v>-93</v>
      </c>
      <c r="AM70" s="130">
        <v>3333</v>
      </c>
      <c r="AN70" s="130">
        <v>6872</v>
      </c>
      <c r="AO70" s="130">
        <v>8267</v>
      </c>
      <c r="AP70" s="130">
        <v>-313</v>
      </c>
      <c r="AQ70" s="130">
        <v>3702</v>
      </c>
      <c r="AR70" s="130">
        <v>7140</v>
      </c>
      <c r="AS70" s="130">
        <v>10165</v>
      </c>
    </row>
    <row r="71" spans="1:45" ht="12.75">
      <c r="A71" s="240" t="s">
        <v>38</v>
      </c>
      <c r="B71" s="240"/>
      <c r="C71" s="240"/>
      <c r="E71" s="93"/>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106"/>
      <c r="AI71" s="106"/>
      <c r="AJ71" s="106"/>
      <c r="AK71" s="106"/>
      <c r="AL71" s="106"/>
      <c r="AM71" s="106"/>
      <c r="AN71" s="106"/>
      <c r="AO71" s="106"/>
      <c r="AP71" s="130"/>
      <c r="AQ71" s="130"/>
      <c r="AR71" s="130"/>
      <c r="AS71" s="130"/>
    </row>
    <row r="72" spans="1:43" ht="12.75">
      <c r="A72" s="243" t="s">
        <v>35</v>
      </c>
      <c r="B72" s="240"/>
      <c r="C72" s="240"/>
      <c r="E72" s="119" t="s">
        <v>89</v>
      </c>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06"/>
      <c r="AI72" s="106"/>
      <c r="AJ72" s="106"/>
      <c r="AK72" s="106"/>
      <c r="AL72" s="106"/>
      <c r="AM72" s="106"/>
      <c r="AN72" s="106"/>
      <c r="AO72" s="106"/>
      <c r="AP72" s="106"/>
      <c r="AQ72" s="106"/>
    </row>
    <row r="73" spans="1:45" ht="12.75">
      <c r="A73" s="240" t="s">
        <v>36</v>
      </c>
      <c r="B73" s="240"/>
      <c r="C73" s="240"/>
      <c r="E73" s="166" t="s">
        <v>399</v>
      </c>
      <c r="F73" s="1"/>
      <c r="G73" s="1"/>
      <c r="H73" s="1"/>
      <c r="I73" s="1"/>
      <c r="J73" s="1"/>
      <c r="K73" s="1"/>
      <c r="L73" s="1"/>
      <c r="M73" s="1"/>
      <c r="N73" s="1"/>
      <c r="O73" s="1"/>
      <c r="P73" s="1"/>
      <c r="Q73" s="1"/>
      <c r="R73" s="1"/>
      <c r="S73" s="1"/>
      <c r="T73" s="1"/>
      <c r="U73" s="1"/>
      <c r="V73" s="1"/>
      <c r="W73" s="1"/>
      <c r="X73" s="13">
        <v>-2556</v>
      </c>
      <c r="Y73" s="13">
        <v>-6377</v>
      </c>
      <c r="Z73" s="13">
        <v>-45</v>
      </c>
      <c r="AA73" s="13">
        <v>-45</v>
      </c>
      <c r="AB73" s="13">
        <v>-164</v>
      </c>
      <c r="AC73" s="13">
        <v>-164</v>
      </c>
      <c r="AD73" s="13">
        <v>-201</v>
      </c>
      <c r="AE73" s="13">
        <v>-202</v>
      </c>
      <c r="AF73" s="13">
        <v>-202</v>
      </c>
      <c r="AG73" s="13">
        <v>-205</v>
      </c>
      <c r="AH73" s="106">
        <v>-1</v>
      </c>
      <c r="AI73" s="106">
        <v>-1</v>
      </c>
      <c r="AJ73" s="106">
        <v>-68</v>
      </c>
      <c r="AK73" s="106">
        <v>-69</v>
      </c>
      <c r="AL73" s="106">
        <v>0</v>
      </c>
      <c r="AM73" s="106">
        <v>-78</v>
      </c>
      <c r="AN73" s="106">
        <v>-91</v>
      </c>
      <c r="AO73" s="106">
        <v>-91</v>
      </c>
      <c r="AP73" s="106">
        <v>-3</v>
      </c>
      <c r="AQ73" s="106">
        <v>-3</v>
      </c>
      <c r="AR73" s="106">
        <v>-137</v>
      </c>
      <c r="AS73" s="106">
        <v>-160</v>
      </c>
    </row>
    <row r="74" spans="1:45" ht="12.75">
      <c r="A74" s="240" t="s">
        <v>36</v>
      </c>
      <c r="B74" s="240"/>
      <c r="C74" s="240"/>
      <c r="E74" s="139" t="s">
        <v>90</v>
      </c>
      <c r="F74" s="2">
        <v>0</v>
      </c>
      <c r="G74" s="2">
        <v>0</v>
      </c>
      <c r="H74" s="2">
        <v>0</v>
      </c>
      <c r="I74" s="2">
        <v>0</v>
      </c>
      <c r="J74" s="2">
        <v>0</v>
      </c>
      <c r="K74" s="2">
        <v>0</v>
      </c>
      <c r="L74" s="2">
        <v>0</v>
      </c>
      <c r="M74" s="2">
        <v>-34</v>
      </c>
      <c r="N74" s="2">
        <v>0</v>
      </c>
      <c r="O74" s="2">
        <v>0</v>
      </c>
      <c r="P74" s="2">
        <v>4</v>
      </c>
      <c r="Q74" s="2">
        <v>4</v>
      </c>
      <c r="R74" s="2">
        <v>0</v>
      </c>
      <c r="S74" s="2">
        <v>0</v>
      </c>
      <c r="T74" s="2">
        <v>7</v>
      </c>
      <c r="U74" s="2">
        <v>7</v>
      </c>
      <c r="V74" s="2">
        <v>105</v>
      </c>
      <c r="W74" s="2">
        <v>208</v>
      </c>
      <c r="X74" s="2">
        <v>213</v>
      </c>
      <c r="Y74" s="2">
        <v>821</v>
      </c>
      <c r="Z74" s="2">
        <v>0</v>
      </c>
      <c r="AA74" s="2">
        <v>0</v>
      </c>
      <c r="AB74" s="2">
        <v>0</v>
      </c>
      <c r="AC74" s="2">
        <v>0</v>
      </c>
      <c r="AD74" s="2">
        <v>0</v>
      </c>
      <c r="AE74" s="2">
        <v>0</v>
      </c>
      <c r="AF74" s="2">
        <v>0</v>
      </c>
      <c r="AG74" s="2">
        <v>0</v>
      </c>
      <c r="AH74" s="106">
        <v>0</v>
      </c>
      <c r="AI74" s="106">
        <v>0</v>
      </c>
      <c r="AJ74" s="106">
        <v>0</v>
      </c>
      <c r="AK74" s="106">
        <v>0</v>
      </c>
      <c r="AL74" s="106">
        <v>0</v>
      </c>
      <c r="AM74" s="106">
        <v>0</v>
      </c>
      <c r="AN74" s="106">
        <v>0</v>
      </c>
      <c r="AO74" s="106">
        <v>0</v>
      </c>
      <c r="AP74" s="106">
        <v>0</v>
      </c>
      <c r="AQ74" s="106">
        <v>0</v>
      </c>
      <c r="AR74" s="106">
        <v>0</v>
      </c>
      <c r="AS74" s="106">
        <v>336</v>
      </c>
    </row>
    <row r="75" spans="1:45" ht="12.75">
      <c r="A75" s="240" t="s">
        <v>36</v>
      </c>
      <c r="B75" s="240"/>
      <c r="C75" s="240"/>
      <c r="E75" s="139" t="s">
        <v>91</v>
      </c>
      <c r="F75" s="2">
        <v>-788</v>
      </c>
      <c r="G75" s="2">
        <v>-1720</v>
      </c>
      <c r="H75" s="2">
        <v>-2535</v>
      </c>
      <c r="I75" s="2">
        <v>-3430</v>
      </c>
      <c r="J75" s="2">
        <v>-497</v>
      </c>
      <c r="K75" s="2">
        <v>-1276</v>
      </c>
      <c r="L75" s="2">
        <v>-2127</v>
      </c>
      <c r="M75" s="2">
        <v>-3158</v>
      </c>
      <c r="N75" s="2">
        <v>-514</v>
      </c>
      <c r="O75" s="2">
        <v>-918</v>
      </c>
      <c r="P75" s="2">
        <v>-1408</v>
      </c>
      <c r="Q75" s="2">
        <v>-2223</v>
      </c>
      <c r="R75" s="2">
        <v>-438</v>
      </c>
      <c r="S75" s="2">
        <v>-1203</v>
      </c>
      <c r="T75" s="2">
        <v>-2061</v>
      </c>
      <c r="U75" s="2">
        <v>-3221</v>
      </c>
      <c r="V75" s="2">
        <v>-540</v>
      </c>
      <c r="W75" s="2">
        <v>-1281</v>
      </c>
      <c r="X75" s="2">
        <v>-2138</v>
      </c>
      <c r="Y75" s="2">
        <v>-3163</v>
      </c>
      <c r="Z75" s="2">
        <v>-784</v>
      </c>
      <c r="AA75" s="2">
        <v>-1817</v>
      </c>
      <c r="AB75" s="2">
        <v>-2815</v>
      </c>
      <c r="AC75" s="2">
        <v>-4090</v>
      </c>
      <c r="AD75" s="2">
        <v>-685</v>
      </c>
      <c r="AE75" s="2">
        <v>-1501</v>
      </c>
      <c r="AF75" s="2">
        <v>-2346</v>
      </c>
      <c r="AG75" s="2">
        <v>-3535</v>
      </c>
      <c r="AH75" s="106">
        <v>-489</v>
      </c>
      <c r="AI75" s="106">
        <v>-1120</v>
      </c>
      <c r="AJ75" s="106">
        <v>-1854</v>
      </c>
      <c r="AK75" s="106">
        <v>-3006</v>
      </c>
      <c r="AL75" s="106">
        <v>-656</v>
      </c>
      <c r="AM75" s="106">
        <v>-1327</v>
      </c>
      <c r="AN75" s="106">
        <v>-1945</v>
      </c>
      <c r="AO75" s="106">
        <v>-3027</v>
      </c>
      <c r="AP75" s="106">
        <v>-539</v>
      </c>
      <c r="AQ75" s="106">
        <v>-1093</v>
      </c>
      <c r="AR75" s="106">
        <v>-1759</v>
      </c>
      <c r="AS75" s="106">
        <v>-2830</v>
      </c>
    </row>
    <row r="76" spans="1:45" ht="12.75">
      <c r="A76" s="240" t="s">
        <v>36</v>
      </c>
      <c r="B76" s="240"/>
      <c r="C76" s="240"/>
      <c r="E76" s="139" t="s">
        <v>92</v>
      </c>
      <c r="F76" s="2">
        <v>-110</v>
      </c>
      <c r="G76" s="2">
        <v>-228</v>
      </c>
      <c r="H76" s="2">
        <v>-362</v>
      </c>
      <c r="I76" s="2">
        <v>-520</v>
      </c>
      <c r="J76" s="2">
        <v>-146</v>
      </c>
      <c r="K76" s="2">
        <v>-275</v>
      </c>
      <c r="L76" s="2">
        <v>-391</v>
      </c>
      <c r="M76" s="2">
        <v>-544</v>
      </c>
      <c r="N76" s="2">
        <v>-148</v>
      </c>
      <c r="O76" s="2">
        <v>-211</v>
      </c>
      <c r="P76" s="2">
        <v>-313</v>
      </c>
      <c r="Q76" s="2">
        <v>-370</v>
      </c>
      <c r="R76" s="2">
        <v>-79</v>
      </c>
      <c r="S76" s="2">
        <v>-189</v>
      </c>
      <c r="T76" s="2">
        <v>-273</v>
      </c>
      <c r="U76" s="2">
        <v>-396</v>
      </c>
      <c r="V76" s="2">
        <v>-74</v>
      </c>
      <c r="W76" s="2">
        <v>-174</v>
      </c>
      <c r="X76" s="2">
        <v>-323</v>
      </c>
      <c r="Y76" s="2">
        <v>-374</v>
      </c>
      <c r="Z76" s="2">
        <v>-93</v>
      </c>
      <c r="AA76" s="2">
        <v>-191</v>
      </c>
      <c r="AB76" s="2">
        <v>-297</v>
      </c>
      <c r="AC76" s="2">
        <v>-477</v>
      </c>
      <c r="AD76" s="2">
        <v>-109</v>
      </c>
      <c r="AE76" s="2">
        <v>-233</v>
      </c>
      <c r="AF76" s="2">
        <v>-347</v>
      </c>
      <c r="AG76" s="2">
        <v>-442</v>
      </c>
      <c r="AH76" s="106">
        <v>-64</v>
      </c>
      <c r="AI76" s="106">
        <v>-153</v>
      </c>
      <c r="AJ76" s="106">
        <v>-267</v>
      </c>
      <c r="AK76" s="106">
        <v>-355</v>
      </c>
      <c r="AL76" s="106">
        <v>-69</v>
      </c>
      <c r="AM76" s="106">
        <v>-174</v>
      </c>
      <c r="AN76" s="106">
        <v>-247</v>
      </c>
      <c r="AO76" s="106">
        <v>-359</v>
      </c>
      <c r="AP76" s="106">
        <v>-53</v>
      </c>
      <c r="AQ76" s="106">
        <v>-108</v>
      </c>
      <c r="AR76" s="106">
        <v>-187</v>
      </c>
      <c r="AS76" s="106">
        <v>-274</v>
      </c>
    </row>
    <row r="77" spans="1:45" ht="12.75">
      <c r="A77" s="240" t="s">
        <v>36</v>
      </c>
      <c r="B77" s="240"/>
      <c r="C77" s="240"/>
      <c r="E77" s="139" t="s">
        <v>402</v>
      </c>
      <c r="F77" s="2"/>
      <c r="G77" s="2"/>
      <c r="H77" s="2"/>
      <c r="I77" s="2"/>
      <c r="J77" s="2"/>
      <c r="K77" s="2"/>
      <c r="L77" s="2"/>
      <c r="M77" s="2"/>
      <c r="N77" s="2"/>
      <c r="O77" s="2"/>
      <c r="P77" s="2"/>
      <c r="Q77" s="2"/>
      <c r="R77" s="2"/>
      <c r="S77" s="2"/>
      <c r="T77" s="2"/>
      <c r="U77" s="2"/>
      <c r="V77" s="2"/>
      <c r="W77" s="2"/>
      <c r="X77" s="2"/>
      <c r="Y77" s="2">
        <v>-744</v>
      </c>
      <c r="Z77" s="2">
        <v>-131</v>
      </c>
      <c r="AA77" s="2">
        <v>-248</v>
      </c>
      <c r="AB77" s="2">
        <v>-397</v>
      </c>
      <c r="AC77" s="2">
        <v>-574</v>
      </c>
      <c r="AD77" s="2">
        <v>-133</v>
      </c>
      <c r="AE77" s="2">
        <v>-283</v>
      </c>
      <c r="AF77" s="2">
        <v>-453</v>
      </c>
      <c r="AG77" s="2">
        <v>-514</v>
      </c>
      <c r="AH77" s="106">
        <v>-76</v>
      </c>
      <c r="AI77" s="106">
        <v>-150</v>
      </c>
      <c r="AJ77" s="106">
        <v>-199</v>
      </c>
      <c r="AK77" s="106">
        <v>-290</v>
      </c>
      <c r="AL77" s="106">
        <v>-28</v>
      </c>
      <c r="AM77" s="106">
        <v>-141</v>
      </c>
      <c r="AN77" s="106">
        <v>-197</v>
      </c>
      <c r="AO77" s="106">
        <v>-254</v>
      </c>
      <c r="AP77" s="106">
        <v>-44</v>
      </c>
      <c r="AQ77" s="106">
        <v>-113</v>
      </c>
      <c r="AR77" s="106">
        <v>-167</v>
      </c>
      <c r="AS77" s="106">
        <v>-286</v>
      </c>
    </row>
    <row r="78" spans="1:45" ht="12.75">
      <c r="A78" s="240" t="s">
        <v>36</v>
      </c>
      <c r="B78" s="240"/>
      <c r="C78" s="240"/>
      <c r="E78" s="139" t="s">
        <v>93</v>
      </c>
      <c r="F78" s="2">
        <v>-44</v>
      </c>
      <c r="G78" s="2">
        <v>-69</v>
      </c>
      <c r="H78" s="2">
        <v>-77</v>
      </c>
      <c r="I78" s="2">
        <v>71</v>
      </c>
      <c r="J78" s="2">
        <v>193</v>
      </c>
      <c r="K78" s="2">
        <v>216</v>
      </c>
      <c r="L78" s="2">
        <v>17</v>
      </c>
      <c r="M78" s="2">
        <v>-19</v>
      </c>
      <c r="N78" s="2">
        <v>-42</v>
      </c>
      <c r="O78" s="2">
        <v>-144</v>
      </c>
      <c r="P78" s="2">
        <v>-169</v>
      </c>
      <c r="Q78" s="2">
        <v>-378</v>
      </c>
      <c r="R78" s="2">
        <v>-161</v>
      </c>
      <c r="S78" s="2">
        <v>-307</v>
      </c>
      <c r="T78" s="2">
        <v>-481</v>
      </c>
      <c r="U78" s="2">
        <v>-864</v>
      </c>
      <c r="V78" s="2">
        <v>-252</v>
      </c>
      <c r="W78" s="2">
        <v>-494</v>
      </c>
      <c r="X78" s="2">
        <v>-609</v>
      </c>
      <c r="Y78" s="2">
        <v>-212</v>
      </c>
      <c r="Z78" s="9">
        <v>5</v>
      </c>
      <c r="AA78" s="2">
        <v>296</v>
      </c>
      <c r="AB78" s="2">
        <v>321</v>
      </c>
      <c r="AC78" s="2">
        <v>603</v>
      </c>
      <c r="AD78" s="2">
        <v>46</v>
      </c>
      <c r="AE78" s="2">
        <v>52</v>
      </c>
      <c r="AF78" s="2">
        <v>13</v>
      </c>
      <c r="AG78" s="2">
        <v>-38</v>
      </c>
      <c r="AH78" s="106">
        <v>-40</v>
      </c>
      <c r="AI78" s="106">
        <v>-10</v>
      </c>
      <c r="AJ78" s="106">
        <v>2</v>
      </c>
      <c r="AK78" s="106">
        <v>-39</v>
      </c>
      <c r="AL78" s="106">
        <v>-42</v>
      </c>
      <c r="AM78" s="106">
        <v>-113</v>
      </c>
      <c r="AN78" s="106">
        <v>-194</v>
      </c>
      <c r="AO78" s="106">
        <v>328</v>
      </c>
      <c r="AP78" s="43">
        <v>107</v>
      </c>
      <c r="AQ78" s="43">
        <v>364</v>
      </c>
      <c r="AR78" s="43">
        <v>414</v>
      </c>
      <c r="AS78" s="43">
        <v>657</v>
      </c>
    </row>
    <row r="79" spans="1:45" ht="12.75">
      <c r="A79" s="240" t="s">
        <v>37</v>
      </c>
      <c r="B79" s="240"/>
      <c r="C79" s="240"/>
      <c r="E79" s="123" t="s">
        <v>94</v>
      </c>
      <c r="F79" s="1">
        <v>-942</v>
      </c>
      <c r="G79" s="1">
        <v>-2017</v>
      </c>
      <c r="H79" s="1">
        <v>-2974</v>
      </c>
      <c r="I79" s="1">
        <v>-3879</v>
      </c>
      <c r="J79" s="1">
        <v>-450</v>
      </c>
      <c r="K79" s="1">
        <v>-1335</v>
      </c>
      <c r="L79" s="1">
        <v>-2501</v>
      </c>
      <c r="M79" s="1">
        <v>-3755</v>
      </c>
      <c r="N79" s="1">
        <v>-704</v>
      </c>
      <c r="O79" s="1">
        <v>-1273</v>
      </c>
      <c r="P79" s="1">
        <v>-1886</v>
      </c>
      <c r="Q79" s="1">
        <v>-2967</v>
      </c>
      <c r="R79" s="1">
        <v>-678</v>
      </c>
      <c r="S79" s="1">
        <v>-1699</v>
      </c>
      <c r="T79" s="1">
        <v>-2808</v>
      </c>
      <c r="U79" s="1">
        <v>-4474</v>
      </c>
      <c r="V79" s="1">
        <v>-761</v>
      </c>
      <c r="W79" s="1">
        <v>-1741</v>
      </c>
      <c r="X79" s="1">
        <v>-5413</v>
      </c>
      <c r="Y79" s="1">
        <v>-10049</v>
      </c>
      <c r="Z79" s="1">
        <v>-1048</v>
      </c>
      <c r="AA79" s="1">
        <v>-2005</v>
      </c>
      <c r="AB79" s="1">
        <v>-3352</v>
      </c>
      <c r="AC79" s="1">
        <v>-4702</v>
      </c>
      <c r="AD79" s="1">
        <v>-1082</v>
      </c>
      <c r="AE79" s="1">
        <v>-2167</v>
      </c>
      <c r="AF79" s="1">
        <v>-3335</v>
      </c>
      <c r="AG79" s="1">
        <v>-4734</v>
      </c>
      <c r="AH79" s="106">
        <v>-670</v>
      </c>
      <c r="AI79" s="106">
        <v>-1434</v>
      </c>
      <c r="AJ79" s="106">
        <v>-2386</v>
      </c>
      <c r="AK79" s="106">
        <v>-3759</v>
      </c>
      <c r="AL79" s="106">
        <v>-795</v>
      </c>
      <c r="AM79" s="106">
        <v>-1833</v>
      </c>
      <c r="AN79" s="106">
        <v>-2674</v>
      </c>
      <c r="AO79" s="106">
        <v>-3403</v>
      </c>
      <c r="AP79" s="106">
        <v>-532</v>
      </c>
      <c r="AQ79" s="106">
        <v>-953</v>
      </c>
      <c r="AR79" s="106">
        <v>-1836</v>
      </c>
      <c r="AS79" s="106">
        <v>-2557</v>
      </c>
    </row>
    <row r="80" spans="1:45" ht="12.75">
      <c r="A80" s="240" t="s">
        <v>37</v>
      </c>
      <c r="B80" s="240"/>
      <c r="C80" s="240"/>
      <c r="E80" s="123" t="s">
        <v>95</v>
      </c>
      <c r="F80" s="1">
        <v>-677</v>
      </c>
      <c r="G80" s="1">
        <v>-1277</v>
      </c>
      <c r="H80" s="1">
        <v>-573</v>
      </c>
      <c r="I80" s="1">
        <v>1277</v>
      </c>
      <c r="J80" s="1">
        <v>-489</v>
      </c>
      <c r="K80" s="1">
        <v>637</v>
      </c>
      <c r="L80" s="1">
        <v>228</v>
      </c>
      <c r="M80" s="1">
        <v>1194</v>
      </c>
      <c r="N80" s="1">
        <v>-65</v>
      </c>
      <c r="O80" s="1">
        <v>3442</v>
      </c>
      <c r="P80" s="1">
        <v>6770</v>
      </c>
      <c r="Q80" s="1">
        <v>5330</v>
      </c>
      <c r="R80" s="1">
        <v>113</v>
      </c>
      <c r="S80" s="1">
        <v>2934</v>
      </c>
      <c r="T80" s="1">
        <v>3073</v>
      </c>
      <c r="U80" s="1">
        <v>3206</v>
      </c>
      <c r="V80" s="1">
        <v>-1286</v>
      </c>
      <c r="W80" s="1">
        <v>-358</v>
      </c>
      <c r="X80" s="1">
        <v>-1724</v>
      </c>
      <c r="Y80" s="1">
        <v>-4650</v>
      </c>
      <c r="Z80" s="1">
        <v>-765</v>
      </c>
      <c r="AA80" s="1">
        <v>2275</v>
      </c>
      <c r="AB80" s="1">
        <v>1620</v>
      </c>
      <c r="AC80" s="1">
        <v>2378</v>
      </c>
      <c r="AD80" s="1">
        <v>-3391</v>
      </c>
      <c r="AE80" s="1">
        <v>-1285</v>
      </c>
      <c r="AF80" s="1">
        <v>-991</v>
      </c>
      <c r="AG80" s="1">
        <v>-279</v>
      </c>
      <c r="AH80" s="130">
        <v>-673</v>
      </c>
      <c r="AI80" s="130">
        <v>1894</v>
      </c>
      <c r="AJ80" s="130">
        <v>2987</v>
      </c>
      <c r="AK80" s="130">
        <v>4063</v>
      </c>
      <c r="AL80" s="130">
        <v>-888</v>
      </c>
      <c r="AM80" s="130">
        <v>1500</v>
      </c>
      <c r="AN80" s="130">
        <v>4198</v>
      </c>
      <c r="AO80" s="130">
        <v>4864</v>
      </c>
      <c r="AP80" s="130">
        <v>-845</v>
      </c>
      <c r="AQ80" s="130">
        <v>2749</v>
      </c>
      <c r="AR80" s="130">
        <v>5304</v>
      </c>
      <c r="AS80" s="130">
        <v>7608</v>
      </c>
    </row>
    <row r="81" spans="1:45" ht="12.75">
      <c r="A81" s="240" t="s">
        <v>38</v>
      </c>
      <c r="B81" s="240"/>
      <c r="C81" s="240"/>
      <c r="E81" s="93"/>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106"/>
      <c r="AI81" s="106"/>
      <c r="AJ81" s="106"/>
      <c r="AK81" s="106"/>
      <c r="AL81" s="106"/>
      <c r="AM81" s="106"/>
      <c r="AN81" s="106"/>
      <c r="AO81" s="106"/>
      <c r="AP81" s="130"/>
      <c r="AQ81" s="130"/>
      <c r="AR81" s="130"/>
      <c r="AS81" s="130"/>
    </row>
    <row r="82" spans="1:45" ht="12.75">
      <c r="A82" s="243" t="s">
        <v>35</v>
      </c>
      <c r="B82" s="240"/>
      <c r="C82" s="240"/>
      <c r="E82" s="119" t="s">
        <v>96</v>
      </c>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06"/>
      <c r="AI82" s="106"/>
      <c r="AJ82" s="106"/>
      <c r="AK82" s="106"/>
      <c r="AL82" s="106"/>
      <c r="AM82" s="106"/>
      <c r="AN82" s="106"/>
      <c r="AO82" s="106"/>
      <c r="AP82" s="106"/>
      <c r="AQ82" s="106"/>
      <c r="AR82" s="106"/>
      <c r="AS82" s="106"/>
    </row>
    <row r="83" spans="1:45" ht="12.75">
      <c r="A83" s="240" t="s">
        <v>36</v>
      </c>
      <c r="B83" s="240"/>
      <c r="C83" s="240"/>
      <c r="E83" s="93" t="s">
        <v>97</v>
      </c>
      <c r="F83" s="2">
        <v>1185</v>
      </c>
      <c r="G83" s="2">
        <v>997</v>
      </c>
      <c r="H83" s="2">
        <v>1301</v>
      </c>
      <c r="I83" s="2">
        <v>1463</v>
      </c>
      <c r="J83" s="2">
        <v>123</v>
      </c>
      <c r="K83" s="2">
        <v>60</v>
      </c>
      <c r="L83" s="2">
        <v>-252</v>
      </c>
      <c r="M83" s="2">
        <v>-128</v>
      </c>
      <c r="N83" s="2">
        <v>-760</v>
      </c>
      <c r="O83" s="2">
        <v>-1624</v>
      </c>
      <c r="P83" s="2">
        <v>-2183</v>
      </c>
      <c r="Q83" s="2">
        <v>-2734</v>
      </c>
      <c r="R83" s="2">
        <v>852</v>
      </c>
      <c r="S83" s="2">
        <v>1062</v>
      </c>
      <c r="T83" s="2">
        <v>1131</v>
      </c>
      <c r="U83" s="2">
        <v>1306</v>
      </c>
      <c r="V83" s="2">
        <v>315</v>
      </c>
      <c r="W83" s="2">
        <v>309</v>
      </c>
      <c r="X83" s="2">
        <v>1056</v>
      </c>
      <c r="Y83" s="2">
        <v>1444</v>
      </c>
      <c r="Z83" s="2">
        <v>-315</v>
      </c>
      <c r="AA83" s="2">
        <v>-289</v>
      </c>
      <c r="AB83" s="2">
        <v>-160</v>
      </c>
      <c r="AC83" s="2">
        <v>206</v>
      </c>
      <c r="AD83" s="2">
        <v>0</v>
      </c>
      <c r="AE83" s="2">
        <v>-2</v>
      </c>
      <c r="AF83" s="2">
        <v>-34</v>
      </c>
      <c r="AG83" s="2">
        <v>-25</v>
      </c>
      <c r="AH83" s="106">
        <v>26</v>
      </c>
      <c r="AI83" s="106">
        <v>70</v>
      </c>
      <c r="AJ83" s="106">
        <v>49</v>
      </c>
      <c r="AK83" s="106">
        <v>49</v>
      </c>
      <c r="AL83" s="106">
        <v>21</v>
      </c>
      <c r="AM83" s="106">
        <v>21</v>
      </c>
      <c r="AN83" s="106">
        <v>-9</v>
      </c>
      <c r="AO83" s="106">
        <v>-9</v>
      </c>
      <c r="AP83" s="43">
        <v>97</v>
      </c>
      <c r="AQ83" s="43">
        <v>105</v>
      </c>
      <c r="AR83" s="43">
        <v>105</v>
      </c>
      <c r="AS83" s="43">
        <v>-799</v>
      </c>
    </row>
    <row r="84" spans="1:45" ht="12.75">
      <c r="A84" s="240" t="s">
        <v>36</v>
      </c>
      <c r="B84" s="240"/>
      <c r="C84" s="240"/>
      <c r="E84" s="93" t="s">
        <v>98</v>
      </c>
      <c r="F84" s="2">
        <v>971</v>
      </c>
      <c r="G84" s="2">
        <v>4037</v>
      </c>
      <c r="H84" s="2">
        <v>1275</v>
      </c>
      <c r="I84" s="2">
        <v>670</v>
      </c>
      <c r="J84" s="2">
        <v>1278</v>
      </c>
      <c r="K84" s="2">
        <v>-771</v>
      </c>
      <c r="L84" s="2">
        <v>-847</v>
      </c>
      <c r="M84" s="2">
        <v>-681</v>
      </c>
      <c r="N84" s="2">
        <v>0</v>
      </c>
      <c r="O84" s="2">
        <v>-466</v>
      </c>
      <c r="P84" s="2">
        <v>-1325</v>
      </c>
      <c r="Q84" s="2">
        <v>-1131</v>
      </c>
      <c r="R84" s="2">
        <v>-545</v>
      </c>
      <c r="S84" s="2">
        <v>-1691</v>
      </c>
      <c r="T84" s="2">
        <v>-1828</v>
      </c>
      <c r="U84" s="2">
        <v>-1768</v>
      </c>
      <c r="V84" s="2">
        <v>-235</v>
      </c>
      <c r="W84" s="2">
        <v>-31</v>
      </c>
      <c r="X84" s="2">
        <v>-100</v>
      </c>
      <c r="Y84" s="2">
        <v>-619</v>
      </c>
      <c r="Z84" s="2">
        <v>1316</v>
      </c>
      <c r="AA84" s="2">
        <v>-316</v>
      </c>
      <c r="AB84" s="2">
        <v>-473</v>
      </c>
      <c r="AC84" s="2">
        <v>-325</v>
      </c>
      <c r="AD84" s="2">
        <v>2570</v>
      </c>
      <c r="AE84" s="2">
        <v>639</v>
      </c>
      <c r="AF84" s="2">
        <v>86</v>
      </c>
      <c r="AG84" s="2">
        <v>1151</v>
      </c>
      <c r="AH84" s="106">
        <v>8</v>
      </c>
      <c r="AI84" s="106">
        <v>-32</v>
      </c>
      <c r="AJ84" s="106">
        <v>-82</v>
      </c>
      <c r="AK84" s="106">
        <v>367</v>
      </c>
      <c r="AL84" s="106">
        <v>796</v>
      </c>
      <c r="AM84" s="106">
        <v>1457</v>
      </c>
      <c r="AN84" s="106">
        <v>1801</v>
      </c>
      <c r="AO84" s="106">
        <v>84</v>
      </c>
      <c r="AP84" s="106">
        <v>-318</v>
      </c>
      <c r="AQ84" s="106">
        <v>-472</v>
      </c>
      <c r="AR84" s="106">
        <v>-377</v>
      </c>
      <c r="AS84" s="106">
        <v>-31</v>
      </c>
    </row>
    <row r="85" spans="1:45" ht="12.75">
      <c r="A85" s="240" t="s">
        <v>36</v>
      </c>
      <c r="B85" s="240"/>
      <c r="C85" s="240"/>
      <c r="E85" s="139" t="s">
        <v>99</v>
      </c>
      <c r="F85" s="2">
        <v>2014</v>
      </c>
      <c r="G85" s="2"/>
      <c r="H85" s="2">
        <v>2000</v>
      </c>
      <c r="I85" s="2">
        <v>3257</v>
      </c>
      <c r="J85" s="2">
        <v>1023</v>
      </c>
      <c r="K85" s="2">
        <v>4174</v>
      </c>
      <c r="L85" s="2">
        <v>4357</v>
      </c>
      <c r="M85" s="2">
        <v>5289</v>
      </c>
      <c r="N85" s="2">
        <v>1628</v>
      </c>
      <c r="O85" s="2">
        <v>1632</v>
      </c>
      <c r="P85" s="2">
        <v>1639</v>
      </c>
      <c r="Q85" s="2">
        <v>1639</v>
      </c>
      <c r="R85" s="2">
        <v>6</v>
      </c>
      <c r="S85" s="2">
        <v>6</v>
      </c>
      <c r="T85" s="2">
        <v>377</v>
      </c>
      <c r="U85" s="2">
        <v>380</v>
      </c>
      <c r="V85" s="2">
        <v>0</v>
      </c>
      <c r="W85" s="2">
        <v>2500</v>
      </c>
      <c r="X85" s="2">
        <v>3503</v>
      </c>
      <c r="Y85" s="2">
        <v>3503</v>
      </c>
      <c r="Z85" s="2">
        <v>1000</v>
      </c>
      <c r="AA85" s="2">
        <v>1007</v>
      </c>
      <c r="AB85" s="2">
        <v>1057</v>
      </c>
      <c r="AC85" s="2">
        <v>2569</v>
      </c>
      <c r="AD85" s="2">
        <v>2010</v>
      </c>
      <c r="AE85" s="2">
        <v>3025</v>
      </c>
      <c r="AF85" s="2">
        <v>3039</v>
      </c>
      <c r="AG85" s="2">
        <v>3039</v>
      </c>
      <c r="AH85" s="106">
        <v>6</v>
      </c>
      <c r="AI85" s="106">
        <v>1006</v>
      </c>
      <c r="AJ85" s="106">
        <v>1022</v>
      </c>
      <c r="AK85" s="106">
        <v>1952</v>
      </c>
      <c r="AL85" s="106">
        <v>0</v>
      </c>
      <c r="AM85" s="106">
        <v>0</v>
      </c>
      <c r="AN85" s="106">
        <v>0</v>
      </c>
      <c r="AO85" s="106">
        <v>1447</v>
      </c>
      <c r="AP85" s="106">
        <v>0</v>
      </c>
      <c r="AQ85" s="106">
        <v>0</v>
      </c>
      <c r="AR85" s="106">
        <v>0</v>
      </c>
      <c r="AS85" s="106">
        <v>0</v>
      </c>
    </row>
    <row r="86" spans="1:45" ht="12.75">
      <c r="A86" s="240" t="s">
        <v>36</v>
      </c>
      <c r="B86" s="240"/>
      <c r="C86" s="240"/>
      <c r="E86" s="93" t="s">
        <v>100</v>
      </c>
      <c r="F86" s="2">
        <v>-8</v>
      </c>
      <c r="G86" s="2"/>
      <c r="H86" s="2">
        <v>0</v>
      </c>
      <c r="I86" s="2">
        <v>0</v>
      </c>
      <c r="J86" s="2">
        <v>-2832</v>
      </c>
      <c r="K86" s="2">
        <v>-2832</v>
      </c>
      <c r="L86" s="2">
        <v>-2838</v>
      </c>
      <c r="M86" s="2">
        <v>-2923</v>
      </c>
      <c r="N86" s="2">
        <v>-512</v>
      </c>
      <c r="O86" s="2">
        <v>-524</v>
      </c>
      <c r="P86" s="2">
        <v>-567</v>
      </c>
      <c r="Q86" s="2">
        <v>-1040</v>
      </c>
      <c r="R86" s="2">
        <v>-711</v>
      </c>
      <c r="S86" s="2">
        <v>-1023</v>
      </c>
      <c r="T86" s="2">
        <v>-1031</v>
      </c>
      <c r="U86" s="2">
        <v>-1039</v>
      </c>
      <c r="V86" s="2">
        <v>-698</v>
      </c>
      <c r="W86" s="2">
        <v>-903</v>
      </c>
      <c r="X86" s="2">
        <v>-911</v>
      </c>
      <c r="Y86" s="2">
        <v>-1161</v>
      </c>
      <c r="Z86" s="2">
        <v>-7</v>
      </c>
      <c r="AA86" s="2">
        <v>-13</v>
      </c>
      <c r="AB86" s="2">
        <v>-319</v>
      </c>
      <c r="AC86" s="2">
        <v>-3063</v>
      </c>
      <c r="AD86" s="2">
        <v>-837</v>
      </c>
      <c r="AE86" s="2">
        <v>-841</v>
      </c>
      <c r="AF86" s="2">
        <v>-1846</v>
      </c>
      <c r="AG86" s="2">
        <v>-1851</v>
      </c>
      <c r="AH86" s="106">
        <v>-5</v>
      </c>
      <c r="AI86" s="106">
        <v>-1244</v>
      </c>
      <c r="AJ86" s="106">
        <v>-1249</v>
      </c>
      <c r="AK86" s="106">
        <v>-2254</v>
      </c>
      <c r="AL86" s="106">
        <v>-1005</v>
      </c>
      <c r="AM86" s="106">
        <v>-1914</v>
      </c>
      <c r="AN86" s="106">
        <v>-2628</v>
      </c>
      <c r="AO86" s="106">
        <v>-2632</v>
      </c>
      <c r="AP86" s="43">
        <v>-4</v>
      </c>
      <c r="AQ86" s="43">
        <v>-2660</v>
      </c>
      <c r="AR86" s="43">
        <v>-2664</v>
      </c>
      <c r="AS86" s="43">
        <v>-2669</v>
      </c>
    </row>
    <row r="87" spans="1:45" ht="12.75">
      <c r="A87" s="240" t="s">
        <v>36</v>
      </c>
      <c r="B87" s="240"/>
      <c r="C87" s="240"/>
      <c r="E87" s="93" t="s">
        <v>101</v>
      </c>
      <c r="F87" s="2" t="s">
        <v>109</v>
      </c>
      <c r="G87" s="2">
        <v>-1126</v>
      </c>
      <c r="H87" s="2">
        <v>-1126</v>
      </c>
      <c r="I87" s="2">
        <v>-1126</v>
      </c>
      <c r="J87" s="2">
        <v>0</v>
      </c>
      <c r="K87" s="2">
        <v>-1204</v>
      </c>
      <c r="L87" s="2">
        <v>-1204</v>
      </c>
      <c r="M87" s="2">
        <v>-1204</v>
      </c>
      <c r="N87" s="2">
        <v>0</v>
      </c>
      <c r="O87" s="2">
        <v>0</v>
      </c>
      <c r="P87" s="2">
        <v>0</v>
      </c>
      <c r="Q87" s="2">
        <v>0</v>
      </c>
      <c r="R87" s="2">
        <v>0</v>
      </c>
      <c r="S87" s="2">
        <v>-1138</v>
      </c>
      <c r="T87" s="2">
        <v>-1138</v>
      </c>
      <c r="U87" s="2">
        <v>-1138</v>
      </c>
      <c r="V87" s="2">
        <v>0</v>
      </c>
      <c r="W87" s="2">
        <v>-1850</v>
      </c>
      <c r="X87" s="2">
        <v>-1850</v>
      </c>
      <c r="Y87" s="2">
        <v>-1850</v>
      </c>
      <c r="Z87" s="2">
        <v>0</v>
      </c>
      <c r="AA87" s="2">
        <v>-1860</v>
      </c>
      <c r="AB87" s="2">
        <v>-1868</v>
      </c>
      <c r="AC87" s="2">
        <v>-1868</v>
      </c>
      <c r="AD87" s="2">
        <v>0</v>
      </c>
      <c r="AE87" s="2">
        <v>-1860</v>
      </c>
      <c r="AF87" s="2">
        <v>-1860</v>
      </c>
      <c r="AG87" s="2">
        <v>-1860</v>
      </c>
      <c r="AH87" s="43">
        <v>0</v>
      </c>
      <c r="AI87" s="43">
        <v>-1861</v>
      </c>
      <c r="AJ87" s="43">
        <v>-1861</v>
      </c>
      <c r="AK87" s="43">
        <v>-1861</v>
      </c>
      <c r="AL87" s="43">
        <v>0</v>
      </c>
      <c r="AM87" s="43">
        <v>-1868</v>
      </c>
      <c r="AN87" s="43">
        <v>-1868</v>
      </c>
      <c r="AO87" s="43">
        <v>-1870</v>
      </c>
      <c r="AP87" s="43">
        <v>0</v>
      </c>
      <c r="AQ87" s="43">
        <v>-1868</v>
      </c>
      <c r="AR87" s="43">
        <v>-1868</v>
      </c>
      <c r="AS87" s="43">
        <v>-1868</v>
      </c>
    </row>
    <row r="88" spans="1:45" ht="12.75">
      <c r="A88" s="240" t="s">
        <v>36</v>
      </c>
      <c r="B88" s="240"/>
      <c r="C88" s="240"/>
      <c r="E88" s="93" t="s">
        <v>102</v>
      </c>
      <c r="F88" s="2">
        <v>106</v>
      </c>
      <c r="G88" s="2">
        <v>118</v>
      </c>
      <c r="H88" s="2">
        <v>122</v>
      </c>
      <c r="I88" s="2">
        <v>127</v>
      </c>
      <c r="J88" s="2">
        <v>3</v>
      </c>
      <c r="K88" s="2">
        <v>17</v>
      </c>
      <c r="L88" s="2">
        <v>17</v>
      </c>
      <c r="M88" s="2">
        <v>17</v>
      </c>
      <c r="N88" s="2">
        <v>0</v>
      </c>
      <c r="O88" s="2">
        <v>45</v>
      </c>
      <c r="P88" s="2">
        <v>59</v>
      </c>
      <c r="Q88" s="2">
        <v>69</v>
      </c>
      <c r="R88" s="2">
        <v>3</v>
      </c>
      <c r="S88" s="2">
        <v>18</v>
      </c>
      <c r="T88" s="2">
        <v>18</v>
      </c>
      <c r="U88" s="2">
        <v>18</v>
      </c>
      <c r="V88" s="2">
        <v>0</v>
      </c>
      <c r="W88" s="2">
        <v>0</v>
      </c>
      <c r="X88" s="2">
        <v>0</v>
      </c>
      <c r="Y88" s="2">
        <v>0</v>
      </c>
      <c r="Z88" s="2">
        <v>212</v>
      </c>
      <c r="AA88" s="2">
        <v>212</v>
      </c>
      <c r="AB88" s="2">
        <v>212</v>
      </c>
      <c r="AC88" s="2">
        <v>212</v>
      </c>
      <c r="AD88" s="2">
        <v>0</v>
      </c>
      <c r="AE88" s="2">
        <v>0</v>
      </c>
      <c r="AF88" s="2">
        <v>0</v>
      </c>
      <c r="AG88" s="2">
        <v>0</v>
      </c>
      <c r="AH88" s="106">
        <v>0</v>
      </c>
      <c r="AI88" s="106">
        <v>0</v>
      </c>
      <c r="AJ88" s="106">
        <v>0</v>
      </c>
      <c r="AK88" s="106">
        <v>0</v>
      </c>
      <c r="AL88" s="106">
        <v>0</v>
      </c>
      <c r="AM88" s="106">
        <v>0</v>
      </c>
      <c r="AN88" s="106">
        <v>0</v>
      </c>
      <c r="AO88" s="106">
        <v>0</v>
      </c>
      <c r="AP88" s="106">
        <v>0</v>
      </c>
      <c r="AQ88" s="106">
        <v>0</v>
      </c>
      <c r="AR88" s="106">
        <v>0</v>
      </c>
      <c r="AS88" s="106">
        <v>0</v>
      </c>
    </row>
    <row r="89" spans="1:45" ht="12.75">
      <c r="A89" s="240" t="s">
        <v>36</v>
      </c>
      <c r="B89" s="240"/>
      <c r="C89" s="240"/>
      <c r="E89" s="49" t="s">
        <v>470</v>
      </c>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106"/>
      <c r="AI89" s="106"/>
      <c r="AJ89" s="106"/>
      <c r="AK89" s="106"/>
      <c r="AL89" s="106"/>
      <c r="AM89" s="106"/>
      <c r="AN89" s="106"/>
      <c r="AO89" s="106"/>
      <c r="AP89" s="106">
        <v>-54</v>
      </c>
      <c r="AQ89" s="106">
        <v>-57</v>
      </c>
      <c r="AR89" s="106">
        <v>-57</v>
      </c>
      <c r="AS89" s="106">
        <v>-57</v>
      </c>
    </row>
    <row r="90" spans="1:45" ht="12.75">
      <c r="A90" s="240" t="s">
        <v>36</v>
      </c>
      <c r="B90" s="240"/>
      <c r="C90" s="240"/>
      <c r="E90" s="49" t="s">
        <v>108</v>
      </c>
      <c r="F90" s="2">
        <v>-5582</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106">
        <v>0</v>
      </c>
      <c r="AI90" s="106">
        <v>0</v>
      </c>
      <c r="AJ90" s="106">
        <v>0</v>
      </c>
      <c r="AK90" s="106">
        <v>0</v>
      </c>
      <c r="AL90" s="106">
        <v>0</v>
      </c>
      <c r="AM90" s="106">
        <v>0</v>
      </c>
      <c r="AN90" s="106">
        <v>0</v>
      </c>
      <c r="AO90" s="106">
        <v>0</v>
      </c>
      <c r="AP90" s="106">
        <v>0</v>
      </c>
      <c r="AQ90" s="106">
        <v>0</v>
      </c>
      <c r="AR90" s="106">
        <v>0</v>
      </c>
      <c r="AS90" s="106">
        <v>0</v>
      </c>
    </row>
    <row r="91" spans="1:45" ht="12.75">
      <c r="A91" s="240" t="s">
        <v>37</v>
      </c>
      <c r="B91" s="240"/>
      <c r="C91" s="240"/>
      <c r="E91" s="119" t="s">
        <v>103</v>
      </c>
      <c r="F91" s="1">
        <v>-1314</v>
      </c>
      <c r="G91" s="1">
        <v>-1556</v>
      </c>
      <c r="H91" s="1">
        <v>-2010</v>
      </c>
      <c r="I91" s="1">
        <v>-1191</v>
      </c>
      <c r="J91" s="1">
        <v>-405</v>
      </c>
      <c r="K91" s="1">
        <v>-556</v>
      </c>
      <c r="L91" s="1">
        <v>-767</v>
      </c>
      <c r="M91" s="1">
        <v>370</v>
      </c>
      <c r="N91" s="1">
        <v>356</v>
      </c>
      <c r="O91" s="1">
        <v>-937</v>
      </c>
      <c r="P91" s="1">
        <v>-2377</v>
      </c>
      <c r="Q91" s="1">
        <v>-3197</v>
      </c>
      <c r="R91" s="1">
        <v>-395</v>
      </c>
      <c r="S91" s="1">
        <v>-2766</v>
      </c>
      <c r="T91" s="14">
        <v>-2471</v>
      </c>
      <c r="U91" s="14">
        <v>-2241</v>
      </c>
      <c r="V91" s="14">
        <v>-618</v>
      </c>
      <c r="W91" s="14">
        <v>25</v>
      </c>
      <c r="X91" s="14">
        <v>1698</v>
      </c>
      <c r="Y91" s="14">
        <v>1317</v>
      </c>
      <c r="Z91" s="14">
        <v>2206</v>
      </c>
      <c r="AA91" s="14">
        <v>-1259</v>
      </c>
      <c r="AB91" s="14">
        <v>-1551</v>
      </c>
      <c r="AC91" s="14">
        <v>-2269</v>
      </c>
      <c r="AD91" s="14">
        <v>3743</v>
      </c>
      <c r="AE91" s="14">
        <v>961</v>
      </c>
      <c r="AF91" s="14">
        <v>-615</v>
      </c>
      <c r="AG91" s="14">
        <v>454</v>
      </c>
      <c r="AH91" s="130">
        <v>35</v>
      </c>
      <c r="AI91" s="130">
        <v>-2061</v>
      </c>
      <c r="AJ91" s="130">
        <v>-2121</v>
      </c>
      <c r="AK91" s="130">
        <v>-1747</v>
      </c>
      <c r="AL91" s="130">
        <v>-188</v>
      </c>
      <c r="AM91" s="130">
        <v>-2304</v>
      </c>
      <c r="AN91" s="130">
        <v>-2704</v>
      </c>
      <c r="AO91" s="130">
        <v>-2980</v>
      </c>
      <c r="AP91" s="130">
        <v>-279</v>
      </c>
      <c r="AQ91" s="130">
        <v>-4952</v>
      </c>
      <c r="AR91" s="130">
        <v>-4861</v>
      </c>
      <c r="AS91" s="130">
        <v>-5424</v>
      </c>
    </row>
    <row r="92" spans="1:45" ht="12.75">
      <c r="A92" s="240" t="s">
        <v>38</v>
      </c>
      <c r="B92" s="240"/>
      <c r="C92" s="240"/>
      <c r="E92" s="93"/>
      <c r="F92" s="2"/>
      <c r="G92" s="2"/>
      <c r="H92" s="2"/>
      <c r="I92" s="2"/>
      <c r="J92" s="2"/>
      <c r="K92" s="2"/>
      <c r="L92" s="2"/>
      <c r="M92" s="2"/>
      <c r="N92" s="2"/>
      <c r="O92" s="2"/>
      <c r="P92" s="2"/>
      <c r="Q92" s="2"/>
      <c r="R92" s="2"/>
      <c r="S92" s="2"/>
      <c r="T92" s="1"/>
      <c r="U92" s="1"/>
      <c r="V92" s="1"/>
      <c r="W92" s="1"/>
      <c r="X92" s="1"/>
      <c r="Y92" s="1"/>
      <c r="Z92" s="1"/>
      <c r="AA92" s="1"/>
      <c r="AB92" s="1"/>
      <c r="AC92" s="1"/>
      <c r="AD92" s="1"/>
      <c r="AE92" s="1"/>
      <c r="AF92" s="1"/>
      <c r="AG92" s="1"/>
      <c r="AH92" s="106"/>
      <c r="AI92" s="106"/>
      <c r="AJ92" s="106"/>
      <c r="AK92" s="106"/>
      <c r="AL92" s="106"/>
      <c r="AM92" s="106"/>
      <c r="AN92" s="106"/>
      <c r="AO92" s="106"/>
      <c r="AP92" s="106"/>
      <c r="AQ92" s="106"/>
      <c r="AR92" s="106"/>
      <c r="AS92" s="106"/>
    </row>
    <row r="93" spans="1:45" ht="12.75">
      <c r="A93" s="240" t="s">
        <v>37</v>
      </c>
      <c r="B93" s="240"/>
      <c r="C93" s="240"/>
      <c r="E93" s="119" t="s">
        <v>104</v>
      </c>
      <c r="F93" s="1">
        <v>-1991</v>
      </c>
      <c r="G93" s="1">
        <v>-2833</v>
      </c>
      <c r="H93" s="1">
        <v>-2583</v>
      </c>
      <c r="I93" s="1">
        <v>86</v>
      </c>
      <c r="J93" s="1">
        <v>-894</v>
      </c>
      <c r="K93" s="1">
        <v>81</v>
      </c>
      <c r="L93" s="1">
        <v>-539</v>
      </c>
      <c r="M93" s="1">
        <v>1564</v>
      </c>
      <c r="N93" s="1">
        <v>291</v>
      </c>
      <c r="O93" s="1">
        <v>2505</v>
      </c>
      <c r="P93" s="1">
        <v>4393</v>
      </c>
      <c r="Q93" s="1">
        <v>2133</v>
      </c>
      <c r="R93" s="1">
        <v>-282</v>
      </c>
      <c r="S93" s="1">
        <v>168</v>
      </c>
      <c r="T93" s="14">
        <v>602</v>
      </c>
      <c r="U93" s="14">
        <v>965</v>
      </c>
      <c r="V93" s="14">
        <v>-1904</v>
      </c>
      <c r="W93" s="14">
        <v>-333</v>
      </c>
      <c r="X93" s="14">
        <v>-26</v>
      </c>
      <c r="Y93" s="14">
        <v>-3333</v>
      </c>
      <c r="Z93" s="14">
        <v>1441</v>
      </c>
      <c r="AA93" s="14">
        <v>1016</v>
      </c>
      <c r="AB93" s="14">
        <v>69</v>
      </c>
      <c r="AC93" s="14">
        <v>109</v>
      </c>
      <c r="AD93" s="14">
        <v>352</v>
      </c>
      <c r="AE93" s="14">
        <v>-324</v>
      </c>
      <c r="AF93" s="14">
        <v>-1606</v>
      </c>
      <c r="AG93" s="14">
        <v>175</v>
      </c>
      <c r="AH93" s="130">
        <v>-638</v>
      </c>
      <c r="AI93" s="130">
        <v>-167</v>
      </c>
      <c r="AJ93" s="130">
        <v>866</v>
      </c>
      <c r="AK93" s="130">
        <v>2316</v>
      </c>
      <c r="AL93" s="130">
        <v>-1076</v>
      </c>
      <c r="AM93" s="130">
        <v>-804</v>
      </c>
      <c r="AN93" s="130">
        <v>1494</v>
      </c>
      <c r="AO93" s="130">
        <v>1884</v>
      </c>
      <c r="AP93" s="130">
        <v>-1124</v>
      </c>
      <c r="AQ93" s="130">
        <v>-2203</v>
      </c>
      <c r="AR93" s="130">
        <v>443</v>
      </c>
      <c r="AS93" s="130">
        <v>2184</v>
      </c>
    </row>
    <row r="94" spans="1:45" ht="12.75">
      <c r="A94" s="240" t="s">
        <v>36</v>
      </c>
      <c r="B94" s="240"/>
      <c r="C94" s="240"/>
      <c r="E94" s="49" t="s">
        <v>105</v>
      </c>
      <c r="F94" s="2">
        <v>5475</v>
      </c>
      <c r="G94" s="2">
        <v>5475</v>
      </c>
      <c r="H94" s="2">
        <v>5475</v>
      </c>
      <c r="I94" s="2">
        <v>5475</v>
      </c>
      <c r="J94" s="2">
        <v>5546</v>
      </c>
      <c r="K94" s="2">
        <v>5546</v>
      </c>
      <c r="L94" s="2">
        <v>5546</v>
      </c>
      <c r="M94" s="2">
        <v>5546</v>
      </c>
      <c r="N94" s="2">
        <v>7305</v>
      </c>
      <c r="O94" s="2">
        <v>7305</v>
      </c>
      <c r="P94" s="2">
        <v>7305</v>
      </c>
      <c r="Q94" s="2">
        <v>7305</v>
      </c>
      <c r="R94" s="2">
        <v>9537</v>
      </c>
      <c r="S94" s="2">
        <v>9537</v>
      </c>
      <c r="T94" s="13">
        <v>9537</v>
      </c>
      <c r="U94" s="13">
        <v>9537</v>
      </c>
      <c r="V94" s="13">
        <v>10389</v>
      </c>
      <c r="W94" s="13">
        <v>10389</v>
      </c>
      <c r="X94" s="13">
        <v>10389</v>
      </c>
      <c r="Y94" s="13">
        <v>10389</v>
      </c>
      <c r="Z94" s="13">
        <v>6966</v>
      </c>
      <c r="AA94" s="13">
        <v>6966</v>
      </c>
      <c r="AB94" s="13">
        <v>6966</v>
      </c>
      <c r="AC94" s="13">
        <v>6966</v>
      </c>
      <c r="AD94" s="13">
        <v>6835</v>
      </c>
      <c r="AE94" s="13">
        <v>6835</v>
      </c>
      <c r="AF94" s="13">
        <v>6835</v>
      </c>
      <c r="AG94" s="13">
        <v>6835</v>
      </c>
      <c r="AH94" s="106">
        <v>6607</v>
      </c>
      <c r="AI94" s="106">
        <v>6607</v>
      </c>
      <c r="AJ94" s="106">
        <v>6607</v>
      </c>
      <c r="AK94" s="106">
        <v>6607</v>
      </c>
      <c r="AL94" s="106">
        <v>9107</v>
      </c>
      <c r="AM94" s="106">
        <v>9107</v>
      </c>
      <c r="AN94" s="106">
        <v>9107</v>
      </c>
      <c r="AO94" s="106">
        <v>9107</v>
      </c>
      <c r="AP94" s="106">
        <v>10696</v>
      </c>
      <c r="AQ94" s="106">
        <v>10696</v>
      </c>
      <c r="AR94" s="106">
        <v>10696</v>
      </c>
      <c r="AS94" s="106">
        <v>10696</v>
      </c>
    </row>
    <row r="95" spans="1:45" ht="12.75">
      <c r="A95" s="240" t="s">
        <v>36</v>
      </c>
      <c r="B95" s="240"/>
      <c r="C95" s="240"/>
      <c r="E95" s="93" t="s">
        <v>106</v>
      </c>
      <c r="F95" s="2">
        <v>-24</v>
      </c>
      <c r="G95" s="2">
        <v>78</v>
      </c>
      <c r="H95" s="2">
        <v>13</v>
      </c>
      <c r="I95" s="2">
        <v>-15</v>
      </c>
      <c r="J95" s="2">
        <v>-151</v>
      </c>
      <c r="K95" s="2">
        <v>-69</v>
      </c>
      <c r="L95" s="2">
        <v>-70</v>
      </c>
      <c r="M95" s="2">
        <v>195</v>
      </c>
      <c r="N95" s="2">
        <v>118</v>
      </c>
      <c r="O95" s="2">
        <v>154</v>
      </c>
      <c r="P95" s="2">
        <v>-119</v>
      </c>
      <c r="Q95" s="2">
        <v>99</v>
      </c>
      <c r="R95" s="2">
        <v>-55</v>
      </c>
      <c r="S95" s="2">
        <v>187</v>
      </c>
      <c r="T95" s="2">
        <v>-192</v>
      </c>
      <c r="U95" s="2">
        <v>-113</v>
      </c>
      <c r="V95" s="2">
        <v>-276</v>
      </c>
      <c r="W95" s="2">
        <v>-151</v>
      </c>
      <c r="X95" s="2">
        <v>-137</v>
      </c>
      <c r="Y95" s="2">
        <v>-90</v>
      </c>
      <c r="Z95" s="2">
        <v>-58</v>
      </c>
      <c r="AA95" s="2">
        <v>3</v>
      </c>
      <c r="AB95" s="2">
        <v>-199</v>
      </c>
      <c r="AC95" s="2">
        <v>-240</v>
      </c>
      <c r="AD95" s="2">
        <v>-75</v>
      </c>
      <c r="AE95" s="2">
        <v>-84</v>
      </c>
      <c r="AF95" s="2">
        <v>-258</v>
      </c>
      <c r="AG95" s="2">
        <v>-403</v>
      </c>
      <c r="AH95" s="106">
        <v>-20</v>
      </c>
      <c r="AI95" s="106">
        <v>82</v>
      </c>
      <c r="AJ95" s="106">
        <v>143</v>
      </c>
      <c r="AK95" s="106">
        <v>184</v>
      </c>
      <c r="AL95" s="106">
        <v>78</v>
      </c>
      <c r="AM95" s="106">
        <v>-45</v>
      </c>
      <c r="AN95" s="106">
        <v>-187</v>
      </c>
      <c r="AO95" s="106">
        <v>-295</v>
      </c>
      <c r="AP95" s="106">
        <v>-86</v>
      </c>
      <c r="AQ95" s="106">
        <v>45</v>
      </c>
      <c r="AR95" s="106">
        <v>97</v>
      </c>
      <c r="AS95" s="106">
        <v>-124</v>
      </c>
    </row>
    <row r="96" spans="1:45" ht="12.75">
      <c r="A96" s="240" t="s">
        <v>37</v>
      </c>
      <c r="B96" s="240"/>
      <c r="C96" s="240"/>
      <c r="E96" s="119" t="s">
        <v>107</v>
      </c>
      <c r="F96" s="1">
        <v>3460</v>
      </c>
      <c r="G96" s="1">
        <v>2720</v>
      </c>
      <c r="H96" s="1">
        <v>2905</v>
      </c>
      <c r="I96" s="1">
        <v>5546</v>
      </c>
      <c r="J96" s="1">
        <v>4501</v>
      </c>
      <c r="K96" s="1">
        <v>5558</v>
      </c>
      <c r="L96" s="1">
        <v>4937</v>
      </c>
      <c r="M96" s="1">
        <v>7305</v>
      </c>
      <c r="N96" s="1">
        <v>7714</v>
      </c>
      <c r="O96" s="1">
        <v>9964</v>
      </c>
      <c r="P96" s="1">
        <v>11579</v>
      </c>
      <c r="Q96" s="1">
        <v>9537</v>
      </c>
      <c r="R96" s="1">
        <v>9200</v>
      </c>
      <c r="S96" s="1">
        <v>9892</v>
      </c>
      <c r="T96" s="14">
        <v>9947</v>
      </c>
      <c r="U96" s="14">
        <v>10389</v>
      </c>
      <c r="V96" s="14">
        <v>8209</v>
      </c>
      <c r="W96" s="14">
        <v>9905</v>
      </c>
      <c r="X96" s="14">
        <v>10226</v>
      </c>
      <c r="Y96" s="14">
        <v>6966</v>
      </c>
      <c r="Z96" s="14">
        <v>8349</v>
      </c>
      <c r="AA96" s="14">
        <v>7985</v>
      </c>
      <c r="AB96" s="14">
        <v>6836</v>
      </c>
      <c r="AC96" s="14">
        <v>6835</v>
      </c>
      <c r="AD96" s="14">
        <v>7112</v>
      </c>
      <c r="AE96" s="14">
        <v>6427</v>
      </c>
      <c r="AF96" s="14">
        <v>4971</v>
      </c>
      <c r="AG96" s="14">
        <v>6607</v>
      </c>
      <c r="AH96" s="130">
        <v>5949</v>
      </c>
      <c r="AI96" s="130">
        <v>6522</v>
      </c>
      <c r="AJ96" s="130">
        <v>7616</v>
      </c>
      <c r="AK96" s="130">
        <v>9107</v>
      </c>
      <c r="AL96" s="130">
        <v>8109</v>
      </c>
      <c r="AM96" s="130">
        <v>8258</v>
      </c>
      <c r="AN96" s="130">
        <v>10414</v>
      </c>
      <c r="AO96" s="130">
        <v>10696</v>
      </c>
      <c r="AP96" s="130">
        <v>9486</v>
      </c>
      <c r="AQ96" s="130">
        <v>8538</v>
      </c>
      <c r="AR96" s="130">
        <v>11236</v>
      </c>
      <c r="AS96" s="130">
        <v>12756</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8" scale="91" r:id="rId1"/>
  <rowBreaks count="1" manualBreakCount="1">
    <brk id="52" min="4" max="43" man="1"/>
  </rowBreaks>
  <colBreaks count="1" manualBreakCount="1">
    <brk id="25" min="3" max="96" man="1"/>
  </colBreaks>
</worksheet>
</file>

<file path=xl/worksheets/sheet7.xml><?xml version="1.0" encoding="utf-8"?>
<worksheet xmlns="http://schemas.openxmlformats.org/spreadsheetml/2006/main" xmlns:r="http://schemas.openxmlformats.org/officeDocument/2006/relationships">
  <sheetPr>
    <pageSetUpPr fitToPage="1"/>
  </sheetPr>
  <dimension ref="A1:AT16"/>
  <sheetViews>
    <sheetView zoomScaleSheetLayoutView="100" zoomScalePageLayoutView="0" workbookViewId="0" topLeftCell="A1">
      <selection activeCell="AO26" sqref="AO26"/>
    </sheetView>
  </sheetViews>
  <sheetFormatPr defaultColWidth="9.140625" defaultRowHeight="12.75"/>
  <cols>
    <col min="1" max="1" width="11.140625" style="240" bestFit="1" customWidth="1"/>
    <col min="2" max="2" width="12.140625" style="40" customWidth="1"/>
    <col min="3" max="3" width="11.140625" style="40" customWidth="1"/>
    <col min="4" max="4" width="27.57421875" style="40" hidden="1" customWidth="1"/>
    <col min="5" max="5" width="49.7109375" style="40" customWidth="1"/>
    <col min="6" max="15" width="11.00390625" style="40" hidden="1" customWidth="1"/>
    <col min="16" max="25" width="0" style="40" hidden="1" customWidth="1"/>
    <col min="26" max="30" width="8.421875" style="40" hidden="1" customWidth="1"/>
    <col min="31" max="36" width="0" style="40" hidden="1" customWidth="1"/>
    <col min="37" max="16384" width="9.140625" style="40" customWidth="1"/>
  </cols>
  <sheetData>
    <row r="1" spans="1:35" ht="17.25">
      <c r="A1" s="249">
        <v>42735</v>
      </c>
      <c r="B1" s="97" t="s">
        <v>141</v>
      </c>
      <c r="C1" s="98"/>
      <c r="D1" s="99" t="str">
        <f>Company</f>
        <v>AB Electrolux</v>
      </c>
      <c r="E1" s="99" t="str">
        <f>Company</f>
        <v>AB Electrolux</v>
      </c>
      <c r="AI1" s="177"/>
    </row>
    <row r="2" spans="1:5" ht="12.75">
      <c r="A2" s="250"/>
      <c r="B2" s="97" t="s">
        <v>143</v>
      </c>
      <c r="C2" s="98"/>
      <c r="D2" s="100">
        <f>A1</f>
        <v>42735</v>
      </c>
      <c r="E2" s="101">
        <f>A1</f>
        <v>42735</v>
      </c>
    </row>
    <row r="3" spans="1:5" ht="12.75">
      <c r="A3" s="250"/>
      <c r="B3" s="97" t="s">
        <v>144</v>
      </c>
      <c r="C3" s="98" t="s">
        <v>145</v>
      </c>
      <c r="D3" s="102" t="s">
        <v>146</v>
      </c>
      <c r="E3" s="102" t="s">
        <v>147</v>
      </c>
    </row>
    <row r="4" spans="1:7" ht="12.75">
      <c r="A4" s="240" t="s">
        <v>34</v>
      </c>
      <c r="B4" s="97" t="s">
        <v>148</v>
      </c>
      <c r="D4" s="34" t="s">
        <v>342</v>
      </c>
      <c r="E4" s="34" t="s">
        <v>342</v>
      </c>
      <c r="F4" s="34"/>
      <c r="G4" s="34"/>
    </row>
    <row r="5" spans="2:31" ht="12.75">
      <c r="B5" s="97" t="s">
        <v>150</v>
      </c>
      <c r="C5" s="40" t="s">
        <v>284</v>
      </c>
      <c r="D5" s="34"/>
      <c r="E5" s="34"/>
      <c r="F5" s="34"/>
      <c r="G5" s="34"/>
      <c r="Z5" s="168"/>
      <c r="AA5" s="168"/>
      <c r="AB5" s="168"/>
      <c r="AC5" s="168"/>
      <c r="AD5" s="168"/>
      <c r="AE5" s="168"/>
    </row>
    <row r="6" spans="1:46" s="41"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87" t="s">
        <v>397</v>
      </c>
      <c r="X6" s="87" t="s">
        <v>398</v>
      </c>
      <c r="Y6" s="87" t="s">
        <v>400</v>
      </c>
      <c r="Z6" s="87" t="s">
        <v>400</v>
      </c>
      <c r="AA6" s="87" t="s">
        <v>405</v>
      </c>
      <c r="AB6" s="87" t="s">
        <v>409</v>
      </c>
      <c r="AC6" s="87" t="s">
        <v>411</v>
      </c>
      <c r="AD6" s="87" t="s">
        <v>414</v>
      </c>
      <c r="AE6" s="87" t="s">
        <v>421</v>
      </c>
      <c r="AF6" s="87" t="s">
        <v>429</v>
      </c>
      <c r="AG6" s="87" t="s">
        <v>431</v>
      </c>
      <c r="AH6" s="87" t="s">
        <v>432</v>
      </c>
      <c r="AI6" s="87" t="s">
        <v>440</v>
      </c>
      <c r="AJ6" s="87" t="s">
        <v>441</v>
      </c>
      <c r="AK6" s="87" t="s">
        <v>442</v>
      </c>
      <c r="AL6" s="87" t="s">
        <v>443</v>
      </c>
      <c r="AM6" s="87" t="s">
        <v>445</v>
      </c>
      <c r="AN6" s="87" t="s">
        <v>447</v>
      </c>
      <c r="AO6" s="87" t="s">
        <v>448</v>
      </c>
      <c r="AP6" s="87" t="s">
        <v>467</v>
      </c>
      <c r="AQ6" s="87" t="s">
        <v>469</v>
      </c>
      <c r="AR6" s="87" t="s">
        <v>471</v>
      </c>
      <c r="AS6" s="87" t="s">
        <v>605</v>
      </c>
      <c r="AT6" s="87" t="s">
        <v>608</v>
      </c>
    </row>
    <row r="7" spans="1:5" s="33" customFormat="1" ht="12.75">
      <c r="A7" s="238" t="s">
        <v>571</v>
      </c>
      <c r="B7" s="238"/>
      <c r="C7" s="238"/>
      <c r="E7" s="33" t="s">
        <v>31</v>
      </c>
    </row>
    <row r="8" spans="1:46" ht="12.75">
      <c r="A8" s="240" t="s">
        <v>36</v>
      </c>
      <c r="B8" s="240"/>
      <c r="C8" s="240"/>
      <c r="E8" s="49" t="s">
        <v>110</v>
      </c>
      <c r="F8" s="9">
        <v>13194</v>
      </c>
      <c r="G8" s="9">
        <v>13194</v>
      </c>
      <c r="H8" s="9">
        <v>13194</v>
      </c>
      <c r="I8" s="9">
        <v>13194</v>
      </c>
      <c r="J8" s="9">
        <v>16040</v>
      </c>
      <c r="K8" s="9">
        <v>16040</v>
      </c>
      <c r="L8" s="9">
        <v>16040</v>
      </c>
      <c r="M8" s="9">
        <v>16040</v>
      </c>
      <c r="N8" s="9">
        <v>16385</v>
      </c>
      <c r="O8" s="9">
        <v>16385</v>
      </c>
      <c r="P8" s="9">
        <v>16385</v>
      </c>
      <c r="Q8" s="9">
        <v>16385</v>
      </c>
      <c r="R8" s="9">
        <v>18841</v>
      </c>
      <c r="S8" s="9">
        <v>18841</v>
      </c>
      <c r="T8" s="9">
        <v>18841</v>
      </c>
      <c r="U8" s="9">
        <v>18841</v>
      </c>
      <c r="V8" s="9">
        <v>20613</v>
      </c>
      <c r="W8" s="9">
        <v>20613</v>
      </c>
      <c r="X8" s="9">
        <v>20613</v>
      </c>
      <c r="Y8" s="9">
        <v>20613</v>
      </c>
      <c r="Z8" s="9">
        <v>20613</v>
      </c>
      <c r="AA8" s="9">
        <v>17646</v>
      </c>
      <c r="AB8" s="9">
        <v>17646</v>
      </c>
      <c r="AC8" s="9">
        <v>17646</v>
      </c>
      <c r="AD8" s="9">
        <v>17646</v>
      </c>
      <c r="AE8" s="9">
        <v>15726</v>
      </c>
      <c r="AF8" s="9">
        <v>15726</v>
      </c>
      <c r="AG8" s="9">
        <v>15726</v>
      </c>
      <c r="AH8" s="9">
        <v>15726</v>
      </c>
      <c r="AI8" s="9">
        <v>14308</v>
      </c>
      <c r="AJ8" s="9">
        <v>14308</v>
      </c>
      <c r="AK8" s="9">
        <v>14308</v>
      </c>
      <c r="AL8" s="9">
        <v>14308</v>
      </c>
      <c r="AM8" s="9">
        <v>16468</v>
      </c>
      <c r="AN8" s="9">
        <v>16468</v>
      </c>
      <c r="AO8" s="9">
        <v>16468</v>
      </c>
      <c r="AP8" s="9">
        <v>16468</v>
      </c>
      <c r="AQ8" s="9">
        <v>15005</v>
      </c>
      <c r="AR8" s="9">
        <v>15005</v>
      </c>
      <c r="AS8" s="9">
        <v>15005</v>
      </c>
      <c r="AT8" s="9">
        <v>15005</v>
      </c>
    </row>
    <row r="9" spans="1:46" ht="12.75">
      <c r="A9" s="240" t="s">
        <v>37</v>
      </c>
      <c r="B9" s="240"/>
      <c r="C9" s="240"/>
      <c r="E9" s="159" t="s">
        <v>23</v>
      </c>
      <c r="F9" s="9">
        <v>1250</v>
      </c>
      <c r="G9" s="9">
        <v>1752</v>
      </c>
      <c r="H9" s="9">
        <v>1799</v>
      </c>
      <c r="I9" s="9">
        <v>2925</v>
      </c>
      <c r="J9" s="9">
        <v>-1218</v>
      </c>
      <c r="K9" s="9">
        <v>-460</v>
      </c>
      <c r="L9" s="9">
        <v>840</v>
      </c>
      <c r="M9" s="9">
        <v>1573</v>
      </c>
      <c r="N9" s="9">
        <v>-120</v>
      </c>
      <c r="O9" s="9">
        <v>804</v>
      </c>
      <c r="P9" s="9">
        <v>1025</v>
      </c>
      <c r="Q9" s="9">
        <v>2369</v>
      </c>
      <c r="R9" s="9">
        <v>562</v>
      </c>
      <c r="S9" s="9">
        <v>1954</v>
      </c>
      <c r="T9" s="9">
        <v>1959</v>
      </c>
      <c r="U9" s="9">
        <v>2819</v>
      </c>
      <c r="V9" s="9">
        <v>-439</v>
      </c>
      <c r="W9" s="9">
        <v>701</v>
      </c>
      <c r="X9" s="9">
        <v>1751</v>
      </c>
      <c r="Y9" s="9">
        <v>1757</v>
      </c>
      <c r="Z9" s="9">
        <v>-1241</v>
      </c>
      <c r="AA9" s="9">
        <v>861</v>
      </c>
      <c r="AB9" s="9">
        <v>1266</v>
      </c>
      <c r="AC9" s="9">
        <v>450</v>
      </c>
      <c r="AD9" s="9">
        <v>22</v>
      </c>
      <c r="AE9" s="9">
        <v>556</v>
      </c>
      <c r="AF9" s="9">
        <v>2019</v>
      </c>
      <c r="AG9" s="9">
        <v>1357</v>
      </c>
      <c r="AH9" s="9">
        <v>370</v>
      </c>
      <c r="AI9" s="9">
        <v>-89</v>
      </c>
      <c r="AJ9" s="9">
        <v>661</v>
      </c>
      <c r="AK9" s="9">
        <v>2777</v>
      </c>
      <c r="AL9" s="9">
        <v>3923</v>
      </c>
      <c r="AM9" s="9">
        <v>876</v>
      </c>
      <c r="AN9" s="9">
        <v>1432</v>
      </c>
      <c r="AO9" s="9">
        <v>1203</v>
      </c>
      <c r="AP9" s="9">
        <v>305</v>
      </c>
      <c r="AQ9" s="9">
        <v>-982</v>
      </c>
      <c r="AR9" s="9">
        <v>816</v>
      </c>
      <c r="AS9" s="9">
        <v>2610</v>
      </c>
      <c r="AT9" s="9">
        <v>4570</v>
      </c>
    </row>
    <row r="10" spans="1:46" ht="12.75">
      <c r="A10" s="240" t="s">
        <v>36</v>
      </c>
      <c r="B10" s="240"/>
      <c r="C10" s="240"/>
      <c r="E10" s="49" t="s">
        <v>111</v>
      </c>
      <c r="F10" s="9">
        <v>20</v>
      </c>
      <c r="G10" s="9">
        <v>35</v>
      </c>
      <c r="H10" s="9">
        <v>71</v>
      </c>
      <c r="I10" s="9">
        <v>72</v>
      </c>
      <c r="J10" s="9">
        <v>1</v>
      </c>
      <c r="K10" s="9">
        <v>-36</v>
      </c>
      <c r="L10" s="9">
        <v>-41</v>
      </c>
      <c r="M10" s="9">
        <v>-41</v>
      </c>
      <c r="N10" s="9">
        <v>0</v>
      </c>
      <c r="O10" s="9">
        <v>4</v>
      </c>
      <c r="P10" s="9">
        <v>11</v>
      </c>
      <c r="Q10" s="9">
        <v>18</v>
      </c>
      <c r="R10" s="9">
        <v>7</v>
      </c>
      <c r="S10" s="9">
        <v>33</v>
      </c>
      <c r="T10" s="9">
        <v>50</v>
      </c>
      <c r="U10" s="9">
        <v>73</v>
      </c>
      <c r="V10" s="9">
        <v>21</v>
      </c>
      <c r="W10" s="9">
        <v>9</v>
      </c>
      <c r="X10" s="9">
        <v>17</v>
      </c>
      <c r="Y10" s="9">
        <v>29</v>
      </c>
      <c r="Z10" s="9">
        <v>29</v>
      </c>
      <c r="AA10" s="9">
        <v>-166</v>
      </c>
      <c r="AB10" s="9">
        <v>-163</v>
      </c>
      <c r="AC10" s="9">
        <v>-152</v>
      </c>
      <c r="AD10" s="9">
        <v>-141</v>
      </c>
      <c r="AE10" s="9">
        <v>8</v>
      </c>
      <c r="AF10" s="9">
        <v>19</v>
      </c>
      <c r="AG10" s="9">
        <v>58</v>
      </c>
      <c r="AH10" s="9">
        <v>77</v>
      </c>
      <c r="AI10" s="9">
        <v>23</v>
      </c>
      <c r="AJ10" s="9">
        <v>35</v>
      </c>
      <c r="AK10" s="9">
        <v>82</v>
      </c>
      <c r="AL10" s="9">
        <v>99</v>
      </c>
      <c r="AM10" s="9">
        <v>25</v>
      </c>
      <c r="AN10" s="9">
        <v>46</v>
      </c>
      <c r="AO10" s="9">
        <v>74</v>
      </c>
      <c r="AP10" s="9">
        <v>102</v>
      </c>
      <c r="AQ10" s="9">
        <v>-54</v>
      </c>
      <c r="AR10" s="9">
        <v>-31</v>
      </c>
      <c r="AS10" s="9">
        <v>-3</v>
      </c>
      <c r="AT10" s="9">
        <v>31</v>
      </c>
    </row>
    <row r="11" spans="1:46" ht="12.75">
      <c r="A11" s="240" t="s">
        <v>36</v>
      </c>
      <c r="B11" s="240"/>
      <c r="C11" s="240"/>
      <c r="E11" s="49" t="s">
        <v>102</v>
      </c>
      <c r="F11" s="9">
        <v>106</v>
      </c>
      <c r="G11" s="9">
        <v>118</v>
      </c>
      <c r="H11" s="9">
        <v>122</v>
      </c>
      <c r="I11" s="9">
        <v>127</v>
      </c>
      <c r="J11" s="9">
        <v>3</v>
      </c>
      <c r="K11" s="9">
        <v>17</v>
      </c>
      <c r="L11" s="9">
        <v>17</v>
      </c>
      <c r="M11" s="9">
        <v>17</v>
      </c>
      <c r="N11" s="9">
        <v>0</v>
      </c>
      <c r="O11" s="9">
        <v>45</v>
      </c>
      <c r="P11" s="9">
        <v>59</v>
      </c>
      <c r="Q11" s="9">
        <v>69</v>
      </c>
      <c r="R11" s="9">
        <v>3</v>
      </c>
      <c r="S11" s="9">
        <v>18</v>
      </c>
      <c r="T11" s="9">
        <v>18</v>
      </c>
      <c r="U11" s="9">
        <v>18</v>
      </c>
      <c r="V11" s="9">
        <v>0</v>
      </c>
      <c r="W11" s="9">
        <v>0</v>
      </c>
      <c r="X11" s="9">
        <v>0</v>
      </c>
      <c r="Y11" s="9">
        <v>0</v>
      </c>
      <c r="Z11" s="9">
        <v>0</v>
      </c>
      <c r="AA11" s="9">
        <v>212</v>
      </c>
      <c r="AB11" s="9">
        <v>212</v>
      </c>
      <c r="AC11" s="9">
        <v>212</v>
      </c>
      <c r="AD11" s="9">
        <v>212</v>
      </c>
      <c r="AE11" s="9">
        <v>0</v>
      </c>
      <c r="AF11" s="9">
        <v>0</v>
      </c>
      <c r="AG11" s="9">
        <v>0</v>
      </c>
      <c r="AH11" s="9">
        <v>0</v>
      </c>
      <c r="AI11" s="9">
        <v>0</v>
      </c>
      <c r="AJ11" s="9">
        <v>0</v>
      </c>
      <c r="AK11" s="9">
        <v>0</v>
      </c>
      <c r="AL11" s="9">
        <v>0</v>
      </c>
      <c r="AM11" s="9">
        <v>0</v>
      </c>
      <c r="AN11" s="9">
        <v>0</v>
      </c>
      <c r="AO11" s="9">
        <v>0</v>
      </c>
      <c r="AP11" s="9">
        <v>0</v>
      </c>
      <c r="AQ11" s="9">
        <v>0</v>
      </c>
      <c r="AR11" s="9">
        <v>0</v>
      </c>
      <c r="AS11" s="9">
        <v>0</v>
      </c>
      <c r="AT11" s="9">
        <v>0</v>
      </c>
    </row>
    <row r="12" spans="1:46" ht="12.75">
      <c r="A12" s="240" t="s">
        <v>36</v>
      </c>
      <c r="B12" s="240"/>
      <c r="C12" s="240"/>
      <c r="E12" s="53" t="s">
        <v>477</v>
      </c>
      <c r="F12" s="144">
        <v>0</v>
      </c>
      <c r="G12" s="144">
        <v>-1126</v>
      </c>
      <c r="H12" s="144">
        <v>-1126</v>
      </c>
      <c r="I12" s="144">
        <v>-1126</v>
      </c>
      <c r="J12" s="144">
        <v>0</v>
      </c>
      <c r="K12" s="144">
        <v>-1204</v>
      </c>
      <c r="L12" s="144">
        <v>-1204</v>
      </c>
      <c r="M12" s="144">
        <v>-1204</v>
      </c>
      <c r="N12" s="144">
        <v>0</v>
      </c>
      <c r="O12" s="144">
        <v>0</v>
      </c>
      <c r="P12" s="144">
        <v>0</v>
      </c>
      <c r="Q12" s="144">
        <v>0</v>
      </c>
      <c r="R12" s="144">
        <v>-1138</v>
      </c>
      <c r="S12" s="144">
        <v>-1138</v>
      </c>
      <c r="T12" s="144">
        <v>-1138</v>
      </c>
      <c r="U12" s="144">
        <v>-1138</v>
      </c>
      <c r="V12" s="144">
        <v>-1850</v>
      </c>
      <c r="W12" s="144">
        <v>-1850</v>
      </c>
      <c r="X12" s="144">
        <v>-1850</v>
      </c>
      <c r="Y12" s="144">
        <v>-1850</v>
      </c>
      <c r="Z12" s="144">
        <v>-1850</v>
      </c>
      <c r="AA12" s="144">
        <v>-1860</v>
      </c>
      <c r="AB12" s="144">
        <v>-1860</v>
      </c>
      <c r="AC12" s="144">
        <v>-1860</v>
      </c>
      <c r="AD12" s="144">
        <v>-1860</v>
      </c>
      <c r="AE12" s="144">
        <v>-1860</v>
      </c>
      <c r="AF12" s="144">
        <v>-1860</v>
      </c>
      <c r="AG12" s="144">
        <v>-1860</v>
      </c>
      <c r="AH12" s="144">
        <v>-1860</v>
      </c>
      <c r="AI12" s="144">
        <v>-1861</v>
      </c>
      <c r="AJ12" s="144">
        <v>-1861</v>
      </c>
      <c r="AK12" s="144">
        <v>-1861</v>
      </c>
      <c r="AL12" s="144">
        <v>-1862</v>
      </c>
      <c r="AM12" s="144">
        <v>-1868</v>
      </c>
      <c r="AN12" s="144">
        <v>-1868</v>
      </c>
      <c r="AO12" s="144">
        <v>-1868</v>
      </c>
      <c r="AP12" s="144">
        <v>-1868</v>
      </c>
      <c r="AQ12" s="144">
        <v>0</v>
      </c>
      <c r="AR12" s="144">
        <v>-1868</v>
      </c>
      <c r="AS12" s="144">
        <v>-1868</v>
      </c>
      <c r="AT12" s="144">
        <v>-1868</v>
      </c>
    </row>
    <row r="13" spans="1:46" ht="12.75">
      <c r="A13" s="240" t="s">
        <v>36</v>
      </c>
      <c r="B13" s="240"/>
      <c r="C13" s="240"/>
      <c r="E13" s="53" t="s">
        <v>403</v>
      </c>
      <c r="F13" s="144">
        <v>0</v>
      </c>
      <c r="G13" s="144">
        <v>0</v>
      </c>
      <c r="H13" s="144">
        <v>0</v>
      </c>
      <c r="I13" s="144">
        <v>0</v>
      </c>
      <c r="J13" s="144">
        <v>0</v>
      </c>
      <c r="K13" s="144">
        <v>0</v>
      </c>
      <c r="L13" s="144">
        <v>0</v>
      </c>
      <c r="M13" s="144">
        <v>0</v>
      </c>
      <c r="N13" s="144">
        <v>0</v>
      </c>
      <c r="O13" s="144">
        <v>0</v>
      </c>
      <c r="P13" s="144">
        <v>0</v>
      </c>
      <c r="Q13" s="144">
        <v>0</v>
      </c>
      <c r="R13" s="144">
        <v>0</v>
      </c>
      <c r="S13" s="144">
        <v>0</v>
      </c>
      <c r="T13" s="144">
        <v>0</v>
      </c>
      <c r="U13" s="144">
        <v>0</v>
      </c>
      <c r="V13" s="144">
        <v>0</v>
      </c>
      <c r="W13" s="144">
        <v>0</v>
      </c>
      <c r="X13" s="144">
        <v>0</v>
      </c>
      <c r="Y13" s="144">
        <v>-1</v>
      </c>
      <c r="Z13" s="144">
        <v>-1</v>
      </c>
      <c r="AA13" s="144">
        <v>0</v>
      </c>
      <c r="AB13" s="144">
        <v>-1</v>
      </c>
      <c r="AC13" s="144">
        <v>-8</v>
      </c>
      <c r="AD13" s="144">
        <v>0</v>
      </c>
      <c r="AE13" s="144">
        <v>0</v>
      </c>
      <c r="AF13" s="144">
        <v>0</v>
      </c>
      <c r="AG13" s="144">
        <v>0</v>
      </c>
      <c r="AH13" s="144">
        <v>0</v>
      </c>
      <c r="AI13" s="144">
        <v>0</v>
      </c>
      <c r="AJ13" s="144">
        <v>0</v>
      </c>
      <c r="AK13" s="144">
        <v>0</v>
      </c>
      <c r="AL13" s="144">
        <v>0</v>
      </c>
      <c r="AM13" s="144">
        <v>0</v>
      </c>
      <c r="AN13" s="144">
        <v>0</v>
      </c>
      <c r="AO13" s="144">
        <v>0</v>
      </c>
      <c r="AP13" s="144">
        <v>-2</v>
      </c>
      <c r="AQ13" s="144">
        <v>0</v>
      </c>
      <c r="AR13" s="144">
        <v>0</v>
      </c>
      <c r="AS13" s="144">
        <v>0</v>
      </c>
      <c r="AT13" s="144">
        <v>0</v>
      </c>
    </row>
    <row r="14" spans="1:46" s="17" customFormat="1" ht="12.75">
      <c r="A14" s="240" t="s">
        <v>36</v>
      </c>
      <c r="B14" s="240"/>
      <c r="C14" s="240"/>
      <c r="D14" s="40"/>
      <c r="E14" s="53" t="s">
        <v>399</v>
      </c>
      <c r="F14" s="144">
        <v>0</v>
      </c>
      <c r="G14" s="144">
        <v>0</v>
      </c>
      <c r="H14" s="144">
        <v>0</v>
      </c>
      <c r="I14" s="144">
        <v>0</v>
      </c>
      <c r="J14" s="144">
        <v>0</v>
      </c>
      <c r="K14" s="144">
        <v>0</v>
      </c>
      <c r="L14" s="144">
        <v>0</v>
      </c>
      <c r="M14" s="144">
        <v>0</v>
      </c>
      <c r="N14" s="144">
        <v>0</v>
      </c>
      <c r="O14" s="144">
        <v>0</v>
      </c>
      <c r="P14" s="144">
        <v>0</v>
      </c>
      <c r="Q14" s="144">
        <v>0</v>
      </c>
      <c r="R14" s="144">
        <v>0</v>
      </c>
      <c r="S14" s="144">
        <v>0</v>
      </c>
      <c r="T14" s="144">
        <v>0</v>
      </c>
      <c r="U14" s="144">
        <v>0</v>
      </c>
      <c r="V14" s="144">
        <v>0</v>
      </c>
      <c r="W14" s="144">
        <v>0</v>
      </c>
      <c r="X14" s="144">
        <v>71</v>
      </c>
      <c r="Y14" s="135">
        <v>96</v>
      </c>
      <c r="Z14" s="135">
        <v>96</v>
      </c>
      <c r="AA14" s="135">
        <v>-44</v>
      </c>
      <c r="AB14" s="135">
        <v>-45</v>
      </c>
      <c r="AC14" s="135">
        <v>-158</v>
      </c>
      <c r="AD14" s="135">
        <v>-153</v>
      </c>
      <c r="AE14" s="135">
        <v>-1</v>
      </c>
      <c r="AF14" s="135">
        <v>-2</v>
      </c>
      <c r="AG14" s="135">
        <v>-2</v>
      </c>
      <c r="AH14" s="135">
        <v>-5</v>
      </c>
      <c r="AI14" s="135">
        <v>-1</v>
      </c>
      <c r="AJ14" s="135">
        <v>-1</v>
      </c>
      <c r="AK14" s="135">
        <v>-1</v>
      </c>
      <c r="AL14" s="135">
        <v>0</v>
      </c>
      <c r="AM14" s="135">
        <v>0</v>
      </c>
      <c r="AN14" s="135">
        <v>0</v>
      </c>
      <c r="AO14" s="135">
        <v>0</v>
      </c>
      <c r="AP14" s="135">
        <v>0</v>
      </c>
      <c r="AQ14" s="135">
        <v>0</v>
      </c>
      <c r="AR14" s="135">
        <v>0</v>
      </c>
      <c r="AS14" s="135">
        <v>0</v>
      </c>
      <c r="AT14" s="135">
        <v>0</v>
      </c>
    </row>
    <row r="15" spans="1:46" ht="12.75">
      <c r="A15" s="240" t="s">
        <v>37</v>
      </c>
      <c r="B15" s="240"/>
      <c r="C15" s="240"/>
      <c r="D15" s="17"/>
      <c r="E15" s="62" t="s">
        <v>112</v>
      </c>
      <c r="F15" s="135">
        <v>126</v>
      </c>
      <c r="G15" s="135">
        <v>-973</v>
      </c>
      <c r="H15" s="135">
        <v>-933</v>
      </c>
      <c r="I15" s="135">
        <v>-927</v>
      </c>
      <c r="J15" s="135">
        <v>4</v>
      </c>
      <c r="K15" s="135">
        <v>-1223</v>
      </c>
      <c r="L15" s="135">
        <v>-1228</v>
      </c>
      <c r="M15" s="135">
        <v>-1228</v>
      </c>
      <c r="N15" s="135">
        <v>0</v>
      </c>
      <c r="O15" s="135">
        <v>49</v>
      </c>
      <c r="P15" s="135">
        <v>70</v>
      </c>
      <c r="Q15" s="135">
        <v>87</v>
      </c>
      <c r="R15" s="135">
        <v>-1128</v>
      </c>
      <c r="S15" s="135">
        <v>-1087</v>
      </c>
      <c r="T15" s="135">
        <v>-1070</v>
      </c>
      <c r="U15" s="135">
        <v>-1047</v>
      </c>
      <c r="V15" s="135">
        <v>-1829</v>
      </c>
      <c r="W15" s="135">
        <v>-1841</v>
      </c>
      <c r="X15" s="135">
        <v>-1762</v>
      </c>
      <c r="Y15" s="144">
        <v>-1726</v>
      </c>
      <c r="Z15" s="144">
        <v>-1726</v>
      </c>
      <c r="AA15" s="144">
        <v>-1858</v>
      </c>
      <c r="AB15" s="144">
        <v>-1857</v>
      </c>
      <c r="AC15" s="144">
        <v>-1966</v>
      </c>
      <c r="AD15" s="144">
        <v>-1942</v>
      </c>
      <c r="AE15" s="144">
        <v>-1853</v>
      </c>
      <c r="AF15" s="144">
        <v>-1843</v>
      </c>
      <c r="AG15" s="144">
        <v>-1804</v>
      </c>
      <c r="AH15" s="144">
        <v>-1788</v>
      </c>
      <c r="AI15" s="144">
        <v>-1839</v>
      </c>
      <c r="AJ15" s="144">
        <v>-1827</v>
      </c>
      <c r="AK15" s="144">
        <v>-1780</v>
      </c>
      <c r="AL15" s="144">
        <v>-1763</v>
      </c>
      <c r="AM15" s="144">
        <v>-1843</v>
      </c>
      <c r="AN15" s="144">
        <v>-1822</v>
      </c>
      <c r="AO15" s="144">
        <v>-1794</v>
      </c>
      <c r="AP15" s="144">
        <v>-1768</v>
      </c>
      <c r="AQ15" s="144">
        <v>-54</v>
      </c>
      <c r="AR15" s="144">
        <v>-1899</v>
      </c>
      <c r="AS15" s="144">
        <v>-1871</v>
      </c>
      <c r="AT15" s="144">
        <v>-1837</v>
      </c>
    </row>
    <row r="16" spans="1:46" ht="12.75">
      <c r="A16" s="240" t="s">
        <v>37</v>
      </c>
      <c r="B16" s="240"/>
      <c r="C16" s="240"/>
      <c r="E16" s="62" t="s">
        <v>113</v>
      </c>
      <c r="F16" s="144">
        <v>14570</v>
      </c>
      <c r="G16" s="144">
        <v>13973</v>
      </c>
      <c r="H16" s="144">
        <v>14359</v>
      </c>
      <c r="I16" s="144">
        <v>16040</v>
      </c>
      <c r="J16" s="144">
        <v>14826</v>
      </c>
      <c r="K16" s="144">
        <v>14357</v>
      </c>
      <c r="L16" s="144">
        <v>16002</v>
      </c>
      <c r="M16" s="144">
        <v>16385</v>
      </c>
      <c r="N16" s="144">
        <v>16265</v>
      </c>
      <c r="O16" s="144">
        <v>17238</v>
      </c>
      <c r="P16" s="144">
        <v>17480</v>
      </c>
      <c r="Q16" s="144">
        <v>18841</v>
      </c>
      <c r="R16" s="144">
        <v>18275</v>
      </c>
      <c r="S16" s="144">
        <v>19708</v>
      </c>
      <c r="T16" s="144">
        <v>19730</v>
      </c>
      <c r="U16" s="144">
        <v>20613</v>
      </c>
      <c r="V16" s="144">
        <v>18345</v>
      </c>
      <c r="W16" s="144">
        <v>19473</v>
      </c>
      <c r="X16" s="144">
        <v>20602</v>
      </c>
      <c r="Y16" s="144">
        <v>20644</v>
      </c>
      <c r="Z16" s="144">
        <v>17646</v>
      </c>
      <c r="AA16" s="144">
        <v>16649</v>
      </c>
      <c r="AB16" s="144">
        <v>17055</v>
      </c>
      <c r="AC16" s="144">
        <v>16130</v>
      </c>
      <c r="AD16" s="144">
        <v>15726</v>
      </c>
      <c r="AE16" s="144">
        <v>14429</v>
      </c>
      <c r="AF16" s="144">
        <v>15902</v>
      </c>
      <c r="AG16" s="144">
        <v>15279</v>
      </c>
      <c r="AH16" s="144">
        <v>14308</v>
      </c>
      <c r="AI16" s="144">
        <v>12380</v>
      </c>
      <c r="AJ16" s="144">
        <v>13142</v>
      </c>
      <c r="AK16" s="144">
        <v>15305</v>
      </c>
      <c r="AL16" s="144">
        <v>16468</v>
      </c>
      <c r="AM16" s="144">
        <v>15501</v>
      </c>
      <c r="AN16" s="144">
        <v>16078</v>
      </c>
      <c r="AO16" s="144">
        <v>15877</v>
      </c>
      <c r="AP16" s="144">
        <v>15005</v>
      </c>
      <c r="AQ16" s="144">
        <v>13969</v>
      </c>
      <c r="AR16" s="144">
        <v>13922</v>
      </c>
      <c r="AS16" s="144">
        <v>15744</v>
      </c>
      <c r="AT16" s="144">
        <v>17738</v>
      </c>
    </row>
  </sheetData>
  <sheetProtection/>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AS23"/>
  <sheetViews>
    <sheetView zoomScaleSheetLayoutView="100" zoomScalePageLayoutView="0" workbookViewId="0" topLeftCell="A1">
      <selection activeCell="B23" sqref="B23"/>
    </sheetView>
  </sheetViews>
  <sheetFormatPr defaultColWidth="9.140625" defaultRowHeight="12.75"/>
  <cols>
    <col min="1" max="1" width="11.140625" style="240" bestFit="1" customWidth="1"/>
    <col min="2" max="2" width="12.140625" style="92" customWidth="1"/>
    <col min="3" max="3" width="11.140625" style="92" customWidth="1"/>
    <col min="4" max="4" width="29.28125" style="92" hidden="1" customWidth="1"/>
    <col min="5" max="5" width="59.28125" style="92" customWidth="1"/>
    <col min="6" max="8" width="11.00390625" style="92" hidden="1" customWidth="1"/>
    <col min="9" max="19" width="8.00390625" style="92" hidden="1" customWidth="1"/>
    <col min="20" max="25" width="0" style="92" hidden="1" customWidth="1"/>
    <col min="26" max="29" width="8.421875" style="92" hidden="1" customWidth="1"/>
    <col min="30" max="32" width="0" style="92" hidden="1" customWidth="1"/>
    <col min="33" max="33" width="7.421875" style="92" customWidth="1"/>
    <col min="34" max="16384" width="9.140625" style="92" customWidth="1"/>
  </cols>
  <sheetData>
    <row r="1" spans="1:33" ht="17.25">
      <c r="A1" s="249">
        <v>42735</v>
      </c>
      <c r="B1" s="97" t="s">
        <v>141</v>
      </c>
      <c r="C1" s="98"/>
      <c r="D1" s="99" t="str">
        <f>Company</f>
        <v>AB Electrolux</v>
      </c>
      <c r="E1" s="99" t="str">
        <f>Company</f>
        <v>AB Electrolux</v>
      </c>
      <c r="AG1" s="177"/>
    </row>
    <row r="2" spans="1:5" ht="12.75">
      <c r="A2" s="250"/>
      <c r="B2" s="97" t="s">
        <v>143</v>
      </c>
      <c r="C2" s="98"/>
      <c r="D2" s="100">
        <f>A1</f>
        <v>42735</v>
      </c>
      <c r="E2" s="101">
        <f>A1</f>
        <v>42735</v>
      </c>
    </row>
    <row r="3" spans="1:5" ht="12.75">
      <c r="A3" s="250"/>
      <c r="B3" s="97" t="s">
        <v>144</v>
      </c>
      <c r="C3" s="98" t="s">
        <v>145</v>
      </c>
      <c r="D3" s="102" t="s">
        <v>146</v>
      </c>
      <c r="E3" s="102" t="s">
        <v>147</v>
      </c>
    </row>
    <row r="4" spans="1:7" ht="12.75">
      <c r="A4" s="240" t="s">
        <v>34</v>
      </c>
      <c r="B4" s="97" t="s">
        <v>148</v>
      </c>
      <c r="C4" s="40"/>
      <c r="D4" s="34" t="s">
        <v>129</v>
      </c>
      <c r="E4" s="34" t="s">
        <v>129</v>
      </c>
      <c r="F4" s="34"/>
      <c r="G4" s="34"/>
    </row>
    <row r="5" spans="2:30" ht="12.75">
      <c r="B5" s="97" t="s">
        <v>150</v>
      </c>
      <c r="C5" s="103" t="s">
        <v>284</v>
      </c>
      <c r="D5" s="34"/>
      <c r="E5" s="34"/>
      <c r="F5" s="34"/>
      <c r="G5" s="34"/>
      <c r="Z5" s="168"/>
      <c r="AA5" s="168"/>
      <c r="AB5" s="168"/>
      <c r="AC5" s="168"/>
      <c r="AD5" s="168"/>
    </row>
    <row r="6" spans="1:45" s="153" customFormat="1" ht="12.75">
      <c r="A6" s="245" t="s">
        <v>35</v>
      </c>
      <c r="B6" s="113" t="s">
        <v>149</v>
      </c>
      <c r="C6" s="103" t="s">
        <v>284</v>
      </c>
      <c r="D6" s="103"/>
      <c r="E6" s="154" t="s">
        <v>33</v>
      </c>
      <c r="F6" s="155" t="s">
        <v>0</v>
      </c>
      <c r="G6" s="155" t="s">
        <v>1</v>
      </c>
      <c r="H6" s="155" t="s">
        <v>2</v>
      </c>
      <c r="I6" s="155" t="s">
        <v>3</v>
      </c>
      <c r="J6" s="155" t="s">
        <v>4</v>
      </c>
      <c r="K6" s="155" t="s">
        <v>5</v>
      </c>
      <c r="L6" s="155" t="s">
        <v>6</v>
      </c>
      <c r="M6" s="155" t="s">
        <v>7</v>
      </c>
      <c r="N6" s="155" t="s">
        <v>8</v>
      </c>
      <c r="O6" s="155" t="s">
        <v>9</v>
      </c>
      <c r="P6" s="155" t="s">
        <v>338</v>
      </c>
      <c r="Q6" s="155" t="s">
        <v>355</v>
      </c>
      <c r="R6" s="155" t="s">
        <v>362</v>
      </c>
      <c r="S6" s="155" t="s">
        <v>367</v>
      </c>
      <c r="T6" s="155" t="s">
        <v>371</v>
      </c>
      <c r="U6" s="155" t="s">
        <v>372</v>
      </c>
      <c r="V6" s="155" t="s">
        <v>378</v>
      </c>
      <c r="W6" s="155" t="s">
        <v>397</v>
      </c>
      <c r="X6" s="87" t="s">
        <v>398</v>
      </c>
      <c r="Y6" s="87" t="s">
        <v>400</v>
      </c>
      <c r="Z6" s="87" t="s">
        <v>405</v>
      </c>
      <c r="AA6" s="87" t="s">
        <v>409</v>
      </c>
      <c r="AB6" s="87" t="s">
        <v>411</v>
      </c>
      <c r="AC6" s="87" t="s">
        <v>414</v>
      </c>
      <c r="AD6" s="87" t="s">
        <v>421</v>
      </c>
      <c r="AE6" s="87" t="s">
        <v>429</v>
      </c>
      <c r="AF6" s="87" t="s">
        <v>431</v>
      </c>
      <c r="AG6" s="87" t="s">
        <v>432</v>
      </c>
      <c r="AH6" s="87" t="s">
        <v>440</v>
      </c>
      <c r="AI6" s="87" t="s">
        <v>441</v>
      </c>
      <c r="AJ6" s="87" t="s">
        <v>442</v>
      </c>
      <c r="AK6" s="87" t="s">
        <v>443</v>
      </c>
      <c r="AL6" s="87" t="s">
        <v>445</v>
      </c>
      <c r="AM6" s="87" t="s">
        <v>447</v>
      </c>
      <c r="AN6" s="87" t="s">
        <v>448</v>
      </c>
      <c r="AO6" s="87" t="s">
        <v>467</v>
      </c>
      <c r="AP6" s="87" t="s">
        <v>469</v>
      </c>
      <c r="AQ6" s="87" t="s">
        <v>471</v>
      </c>
      <c r="AR6" s="87" t="s">
        <v>605</v>
      </c>
      <c r="AS6" s="87" t="s">
        <v>608</v>
      </c>
    </row>
    <row r="7" spans="1:5" s="33" customFormat="1" ht="12.75">
      <c r="A7" s="238" t="s">
        <v>571</v>
      </c>
      <c r="B7" s="238"/>
      <c r="C7" s="238"/>
      <c r="E7" s="33" t="s">
        <v>31</v>
      </c>
    </row>
    <row r="8" spans="1:45" ht="12.75">
      <c r="A8" s="240" t="s">
        <v>36</v>
      </c>
      <c r="B8" s="257" t="s">
        <v>39</v>
      </c>
      <c r="C8" s="240"/>
      <c r="E8" s="93" t="s">
        <v>49</v>
      </c>
      <c r="F8" s="2">
        <v>13966</v>
      </c>
      <c r="G8" s="2">
        <v>14164</v>
      </c>
      <c r="H8" s="2">
        <v>13648</v>
      </c>
      <c r="I8" s="2">
        <v>12398</v>
      </c>
      <c r="J8" s="2">
        <v>12603</v>
      </c>
      <c r="K8" s="2">
        <v>13360</v>
      </c>
      <c r="L8" s="2">
        <v>14057</v>
      </c>
      <c r="M8" s="2">
        <v>12680</v>
      </c>
      <c r="N8" s="2">
        <v>12957</v>
      </c>
      <c r="O8" s="2">
        <v>12290</v>
      </c>
      <c r="P8" s="2">
        <v>11081</v>
      </c>
      <c r="Q8" s="2">
        <v>10050</v>
      </c>
      <c r="R8" s="2">
        <v>11006</v>
      </c>
      <c r="S8" s="2">
        <v>12607</v>
      </c>
      <c r="T8" s="2">
        <v>12016</v>
      </c>
      <c r="U8" s="2">
        <v>11130</v>
      </c>
      <c r="V8" s="2">
        <v>11654</v>
      </c>
      <c r="W8" s="2">
        <v>12593</v>
      </c>
      <c r="X8" s="2">
        <v>12926</v>
      </c>
      <c r="Y8" s="2">
        <v>11957</v>
      </c>
      <c r="Z8" s="2">
        <v>12631</v>
      </c>
      <c r="AA8" s="2">
        <v>14096</v>
      </c>
      <c r="AB8" s="2">
        <v>13899</v>
      </c>
      <c r="AC8" s="2">
        <v>12963</v>
      </c>
      <c r="AD8" s="2">
        <v>13984</v>
      </c>
      <c r="AE8" s="2">
        <v>13950</v>
      </c>
      <c r="AF8" s="2">
        <v>13477</v>
      </c>
      <c r="AG8" s="2">
        <v>12154</v>
      </c>
      <c r="AH8" s="2">
        <v>13621</v>
      </c>
      <c r="AI8" s="2">
        <v>14493</v>
      </c>
      <c r="AJ8" s="2">
        <v>15463</v>
      </c>
      <c r="AK8" s="2">
        <v>14324</v>
      </c>
      <c r="AL8" s="2">
        <v>15868</v>
      </c>
      <c r="AM8" s="2">
        <v>15297</v>
      </c>
      <c r="AN8" s="2">
        <v>15629</v>
      </c>
      <c r="AO8" s="2">
        <v>14179</v>
      </c>
      <c r="AP8" s="2">
        <v>15390</v>
      </c>
      <c r="AQ8" s="2">
        <v>16093</v>
      </c>
      <c r="AR8" s="2">
        <v>15279</v>
      </c>
      <c r="AS8" s="2">
        <v>13418</v>
      </c>
    </row>
    <row r="9" spans="1:45" ht="12.75">
      <c r="A9" s="240" t="s">
        <v>36</v>
      </c>
      <c r="B9" s="240" t="s">
        <v>39</v>
      </c>
      <c r="C9" s="240"/>
      <c r="E9" s="93" t="s">
        <v>50</v>
      </c>
      <c r="F9" s="2">
        <v>20949</v>
      </c>
      <c r="G9" s="2">
        <v>21152</v>
      </c>
      <c r="H9" s="2">
        <v>20856</v>
      </c>
      <c r="I9" s="2">
        <v>20379</v>
      </c>
      <c r="J9" s="2">
        <v>19210</v>
      </c>
      <c r="K9" s="2">
        <v>20162</v>
      </c>
      <c r="L9" s="2">
        <v>21631</v>
      </c>
      <c r="M9" s="2">
        <v>20734</v>
      </c>
      <c r="N9" s="2">
        <v>20534</v>
      </c>
      <c r="O9" s="2">
        <v>20932</v>
      </c>
      <c r="P9" s="2">
        <v>20754</v>
      </c>
      <c r="Q9" s="2">
        <v>20173</v>
      </c>
      <c r="R9" s="2">
        <v>20140</v>
      </c>
      <c r="S9" s="2">
        <v>20683</v>
      </c>
      <c r="T9" s="2">
        <v>19147</v>
      </c>
      <c r="U9" s="2">
        <v>19346</v>
      </c>
      <c r="V9" s="2">
        <v>17915</v>
      </c>
      <c r="W9" s="2">
        <v>17403</v>
      </c>
      <c r="X9" s="2">
        <v>18350</v>
      </c>
      <c r="Y9" s="2">
        <v>19226</v>
      </c>
      <c r="Z9" s="2">
        <v>18224</v>
      </c>
      <c r="AA9" s="2">
        <v>18177</v>
      </c>
      <c r="AB9" s="2">
        <v>17815</v>
      </c>
      <c r="AC9" s="2">
        <v>18288</v>
      </c>
      <c r="AD9" s="2">
        <v>17882</v>
      </c>
      <c r="AE9" s="2">
        <v>19222</v>
      </c>
      <c r="AF9" s="2">
        <v>18505</v>
      </c>
      <c r="AG9" s="2">
        <v>19441</v>
      </c>
      <c r="AH9" s="2">
        <v>18038</v>
      </c>
      <c r="AI9" s="2">
        <v>17427</v>
      </c>
      <c r="AJ9" s="2">
        <v>18529</v>
      </c>
      <c r="AK9" s="2">
        <v>20663</v>
      </c>
      <c r="AL9" s="2">
        <v>19236</v>
      </c>
      <c r="AM9" s="2">
        <v>18596</v>
      </c>
      <c r="AN9" s="2">
        <v>18382</v>
      </c>
      <c r="AO9" s="2">
        <v>17745</v>
      </c>
      <c r="AP9" s="2">
        <v>16890</v>
      </c>
      <c r="AQ9" s="2">
        <v>17632</v>
      </c>
      <c r="AR9" s="2">
        <v>18452</v>
      </c>
      <c r="AS9" s="2">
        <v>19408</v>
      </c>
    </row>
    <row r="10" spans="1:45" ht="12.75">
      <c r="A10" s="240" t="s">
        <v>36</v>
      </c>
      <c r="B10" s="240" t="s">
        <v>39</v>
      </c>
      <c r="C10" s="240"/>
      <c r="E10" s="93" t="s">
        <v>70</v>
      </c>
      <c r="F10" s="2">
        <v>-15969</v>
      </c>
      <c r="G10" s="2">
        <v>-15750</v>
      </c>
      <c r="H10" s="2">
        <v>-14977</v>
      </c>
      <c r="I10" s="2">
        <v>-14788</v>
      </c>
      <c r="J10" s="2">
        <v>-14440</v>
      </c>
      <c r="K10" s="2">
        <v>-16191</v>
      </c>
      <c r="L10" s="2">
        <v>-16422</v>
      </c>
      <c r="M10" s="2">
        <v>-15681</v>
      </c>
      <c r="N10" s="2">
        <v>-15377</v>
      </c>
      <c r="O10" s="2">
        <v>-16543</v>
      </c>
      <c r="P10" s="2">
        <v>-16316</v>
      </c>
      <c r="Q10" s="2">
        <v>-16031</v>
      </c>
      <c r="R10" s="2">
        <v>-15991</v>
      </c>
      <c r="S10" s="2">
        <v>-19162</v>
      </c>
      <c r="T10" s="2">
        <v>-17555</v>
      </c>
      <c r="U10" s="2">
        <v>-17283</v>
      </c>
      <c r="V10" s="2">
        <v>-16513</v>
      </c>
      <c r="W10" s="2">
        <v>-18444</v>
      </c>
      <c r="X10" s="2">
        <v>-18987</v>
      </c>
      <c r="Y10" s="2">
        <v>-18490</v>
      </c>
      <c r="Z10" s="2">
        <v>-18161</v>
      </c>
      <c r="AA10" s="2">
        <v>-21289</v>
      </c>
      <c r="AB10" s="2">
        <v>-20191</v>
      </c>
      <c r="AC10" s="2">
        <v>-20590</v>
      </c>
      <c r="AD10" s="2">
        <v>-19397</v>
      </c>
      <c r="AE10" s="2">
        <v>-21606</v>
      </c>
      <c r="AF10" s="2">
        <v>-20692</v>
      </c>
      <c r="AG10" s="2">
        <v>-20607</v>
      </c>
      <c r="AH10" s="2">
        <v>-21293</v>
      </c>
      <c r="AI10" s="2">
        <v>-22647</v>
      </c>
      <c r="AJ10" s="2">
        <v>-24198</v>
      </c>
      <c r="AK10" s="2">
        <v>-25705</v>
      </c>
      <c r="AL10" s="2">
        <v>-25860</v>
      </c>
      <c r="AM10" s="2">
        <v>-26414</v>
      </c>
      <c r="AN10" s="2">
        <v>-27139</v>
      </c>
      <c r="AO10" s="2">
        <v>-26467</v>
      </c>
      <c r="AP10" s="2">
        <v>-25522</v>
      </c>
      <c r="AQ10" s="2">
        <v>-27894</v>
      </c>
      <c r="AR10" s="2">
        <v>-27702</v>
      </c>
      <c r="AS10" s="2">
        <v>-28283</v>
      </c>
    </row>
    <row r="11" spans="1:45" ht="12.75">
      <c r="A11" s="240" t="s">
        <v>36</v>
      </c>
      <c r="B11" s="240" t="s">
        <v>39</v>
      </c>
      <c r="C11" s="240"/>
      <c r="E11" s="93" t="s">
        <v>122</v>
      </c>
      <c r="F11" s="2">
        <v>-11998</v>
      </c>
      <c r="G11" s="2">
        <v>-11582</v>
      </c>
      <c r="H11" s="2">
        <v>-11171</v>
      </c>
      <c r="I11" s="2">
        <v>-11382</v>
      </c>
      <c r="J11" s="2">
        <v>-11294</v>
      </c>
      <c r="K11" s="2">
        <v>-11812</v>
      </c>
      <c r="L11" s="2">
        <v>-11909</v>
      </c>
      <c r="M11" s="2">
        <v>-13529</v>
      </c>
      <c r="N11" s="2">
        <v>-13875</v>
      </c>
      <c r="O11" s="2">
        <v>-13235</v>
      </c>
      <c r="P11" s="2">
        <v>-12385</v>
      </c>
      <c r="Q11" s="2">
        <v>-9447</v>
      </c>
      <c r="R11" s="2">
        <v>-9197</v>
      </c>
      <c r="S11" s="2">
        <v>-9263</v>
      </c>
      <c r="T11" s="2">
        <v>-8397</v>
      </c>
      <c r="U11" s="2">
        <v>-10009</v>
      </c>
      <c r="V11" s="2">
        <v>-9318</v>
      </c>
      <c r="W11" s="2">
        <v>-8931</v>
      </c>
      <c r="X11" s="2">
        <v>-8934</v>
      </c>
      <c r="Y11" s="2">
        <v>-9776</v>
      </c>
      <c r="Z11" s="2">
        <v>-7377</v>
      </c>
      <c r="AA11" s="2">
        <v>-7174</v>
      </c>
      <c r="AB11" s="2">
        <v>-6669</v>
      </c>
      <c r="AC11" s="2">
        <v>-6697</v>
      </c>
      <c r="AD11" s="2">
        <v>-6514</v>
      </c>
      <c r="AE11" s="2">
        <v>-6448</v>
      </c>
      <c r="AF11" s="2">
        <v>-6235</v>
      </c>
      <c r="AG11" s="2">
        <v>-7556</v>
      </c>
      <c r="AH11" s="2">
        <v>-7433</v>
      </c>
      <c r="AI11" s="2">
        <v>-8076</v>
      </c>
      <c r="AJ11" s="2">
        <v>-8345</v>
      </c>
      <c r="AK11" s="2">
        <v>-8448</v>
      </c>
      <c r="AL11" s="2">
        <v>-8530</v>
      </c>
      <c r="AM11" s="2">
        <v>-8185</v>
      </c>
      <c r="AN11" s="2">
        <v>-8099</v>
      </c>
      <c r="AO11" s="2">
        <v>-8057</v>
      </c>
      <c r="AP11" s="2">
        <v>-7915</v>
      </c>
      <c r="AQ11" s="2">
        <v>-7973</v>
      </c>
      <c r="AR11" s="2">
        <v>-8128</v>
      </c>
      <c r="AS11" s="2">
        <v>-8044</v>
      </c>
    </row>
    <row r="12" spans="1:45" ht="12.75">
      <c r="A12" s="240" t="s">
        <v>36</v>
      </c>
      <c r="B12" s="240" t="s">
        <v>39</v>
      </c>
      <c r="C12" s="240"/>
      <c r="E12" s="29" t="s">
        <v>123</v>
      </c>
      <c r="F12" s="117">
        <v>-5966</v>
      </c>
      <c r="G12" s="117">
        <v>-6452</v>
      </c>
      <c r="H12" s="117">
        <v>-7076</v>
      </c>
      <c r="I12" s="117">
        <v>-6445</v>
      </c>
      <c r="J12" s="117">
        <v>-6046</v>
      </c>
      <c r="K12" s="117">
        <v>-6916</v>
      </c>
      <c r="L12" s="117">
        <v>-7644</v>
      </c>
      <c r="M12" s="117">
        <v>-7263</v>
      </c>
      <c r="N12" s="117">
        <v>-7312</v>
      </c>
      <c r="O12" s="117">
        <v>-8279</v>
      </c>
      <c r="P12" s="117">
        <v>-8477</v>
      </c>
      <c r="Q12" s="117">
        <v>-7998</v>
      </c>
      <c r="R12" s="117">
        <v>-7240</v>
      </c>
      <c r="S12" s="117">
        <v>-8387</v>
      </c>
      <c r="T12" s="117">
        <v>-7880</v>
      </c>
      <c r="U12" s="117">
        <v>-7095</v>
      </c>
      <c r="V12" s="117">
        <v>-6217</v>
      </c>
      <c r="W12" s="117">
        <v>-6726</v>
      </c>
      <c r="X12" s="117">
        <v>-7345</v>
      </c>
      <c r="Y12" s="117">
        <v>-6598</v>
      </c>
      <c r="Z12" s="117">
        <v>-6256</v>
      </c>
      <c r="AA12" s="117">
        <v>-7414</v>
      </c>
      <c r="AB12" s="117">
        <v>-7569</v>
      </c>
      <c r="AC12" s="117">
        <v>-7467</v>
      </c>
      <c r="AD12" s="117">
        <v>-8581</v>
      </c>
      <c r="AE12" s="117">
        <v>-7642</v>
      </c>
      <c r="AF12" s="117">
        <v>-7808</v>
      </c>
      <c r="AG12" s="117">
        <v>-7933</v>
      </c>
      <c r="AH12" s="117">
        <v>-8731</v>
      </c>
      <c r="AI12" s="117">
        <v>-7608</v>
      </c>
      <c r="AJ12" s="117">
        <v>-7930</v>
      </c>
      <c r="AK12" s="117">
        <v>-8495</v>
      </c>
      <c r="AL12" s="117">
        <v>-9598</v>
      </c>
      <c r="AM12" s="117">
        <v>-7942</v>
      </c>
      <c r="AN12" s="117">
        <v>-9239</v>
      </c>
      <c r="AO12" s="117">
        <v>-9406</v>
      </c>
      <c r="AP12" s="117">
        <v>-8373</v>
      </c>
      <c r="AQ12" s="117">
        <v>-9602</v>
      </c>
      <c r="AR12" s="117">
        <v>-10658</v>
      </c>
      <c r="AS12" s="117">
        <v>-10732</v>
      </c>
    </row>
    <row r="13" spans="1:45" ht="12.75">
      <c r="A13" s="240" t="s">
        <v>36</v>
      </c>
      <c r="B13" s="240" t="s">
        <v>39</v>
      </c>
      <c r="C13" s="240"/>
      <c r="E13" s="29" t="s">
        <v>124</v>
      </c>
      <c r="F13" s="117">
        <v>-2224</v>
      </c>
      <c r="G13" s="117">
        <v>-1799</v>
      </c>
      <c r="H13" s="117">
        <v>-2393</v>
      </c>
      <c r="I13" s="117">
        <v>-2291</v>
      </c>
      <c r="J13" s="117">
        <v>-1684</v>
      </c>
      <c r="K13" s="117">
        <v>-1476</v>
      </c>
      <c r="L13" s="117">
        <v>-2068</v>
      </c>
      <c r="M13" s="117">
        <v>-2072</v>
      </c>
      <c r="N13" s="117">
        <v>-2069</v>
      </c>
      <c r="O13" s="117">
        <v>-1787</v>
      </c>
      <c r="P13" s="117">
        <v>-2349</v>
      </c>
      <c r="Q13" s="117">
        <v>-1901</v>
      </c>
      <c r="R13" s="117">
        <v>-2757</v>
      </c>
      <c r="S13" s="117">
        <v>-2142</v>
      </c>
      <c r="T13" s="117">
        <v>-1651</v>
      </c>
      <c r="U13" s="117">
        <v>-1991</v>
      </c>
      <c r="V13" s="117">
        <v>-1919</v>
      </c>
      <c r="W13" s="117">
        <v>-1073</v>
      </c>
      <c r="X13" s="117">
        <v>-977</v>
      </c>
      <c r="Y13" s="117">
        <v>-1499</v>
      </c>
      <c r="Z13" s="117">
        <v>-3031</v>
      </c>
      <c r="AA13" s="117">
        <v>-2866</v>
      </c>
      <c r="AB13" s="117">
        <v>-2861</v>
      </c>
      <c r="AC13" s="117">
        <v>-3002</v>
      </c>
      <c r="AD13" s="117">
        <v>812</v>
      </c>
      <c r="AE13" s="117">
        <v>-1474</v>
      </c>
      <c r="AF13" s="117">
        <v>-1141</v>
      </c>
      <c r="AG13" s="117">
        <v>-1299</v>
      </c>
      <c r="AH13" s="117">
        <v>1175</v>
      </c>
      <c r="AI13" s="117">
        <v>-842</v>
      </c>
      <c r="AJ13" s="117">
        <v>-1137</v>
      </c>
      <c r="AK13" s="117">
        <v>-716</v>
      </c>
      <c r="AL13" s="117">
        <v>1477</v>
      </c>
      <c r="AM13" s="117">
        <v>-374</v>
      </c>
      <c r="AN13" s="117">
        <v>-488</v>
      </c>
      <c r="AO13" s="117">
        <v>-228</v>
      </c>
      <c r="AP13" s="117">
        <v>-352</v>
      </c>
      <c r="AQ13" s="117">
        <v>38</v>
      </c>
      <c r="AR13" s="117">
        <v>-427</v>
      </c>
      <c r="AS13" s="117">
        <v>-733</v>
      </c>
    </row>
    <row r="14" spans="1:45" ht="12.75">
      <c r="A14" s="240" t="s">
        <v>37</v>
      </c>
      <c r="B14" s="240" t="s">
        <v>39</v>
      </c>
      <c r="C14" s="240"/>
      <c r="E14" s="77" t="s">
        <v>125</v>
      </c>
      <c r="F14" s="143">
        <v>-1242</v>
      </c>
      <c r="G14" s="143">
        <v>-267</v>
      </c>
      <c r="H14" s="143">
        <v>-1113</v>
      </c>
      <c r="I14" s="143">
        <v>-2129</v>
      </c>
      <c r="J14" s="143">
        <v>-1651</v>
      </c>
      <c r="K14" s="143">
        <v>-2873</v>
      </c>
      <c r="L14" s="143">
        <v>-2355</v>
      </c>
      <c r="M14" s="143">
        <v>-5131</v>
      </c>
      <c r="N14" s="143">
        <v>-5142</v>
      </c>
      <c r="O14" s="143">
        <v>-6622</v>
      </c>
      <c r="P14" s="143">
        <v>-7692</v>
      </c>
      <c r="Q14" s="143">
        <v>-5154</v>
      </c>
      <c r="R14" s="143">
        <v>-4039</v>
      </c>
      <c r="S14" s="143">
        <v>-5664</v>
      </c>
      <c r="T14" s="143">
        <v>-4320</v>
      </c>
      <c r="U14" s="143">
        <v>-5902</v>
      </c>
      <c r="V14" s="143">
        <v>-4398</v>
      </c>
      <c r="W14" s="143">
        <v>-5178</v>
      </c>
      <c r="X14" s="143">
        <v>-4967</v>
      </c>
      <c r="Y14" s="143">
        <v>-5180</v>
      </c>
      <c r="Z14" s="143">
        <v>-3970</v>
      </c>
      <c r="AA14" s="143">
        <v>-6470</v>
      </c>
      <c r="AB14" s="143">
        <v>-5576</v>
      </c>
      <c r="AC14" s="143">
        <v>-6505</v>
      </c>
      <c r="AD14" s="143">
        <v>-1814</v>
      </c>
      <c r="AE14" s="143">
        <v>-3998</v>
      </c>
      <c r="AF14" s="143">
        <v>-3894</v>
      </c>
      <c r="AG14" s="143">
        <v>-5800</v>
      </c>
      <c r="AH14" s="143">
        <v>-4623</v>
      </c>
      <c r="AI14" s="143">
        <v>-7253</v>
      </c>
      <c r="AJ14" s="143">
        <v>-7618</v>
      </c>
      <c r="AK14" s="143">
        <v>-8377</v>
      </c>
      <c r="AL14" s="143">
        <v>-7407</v>
      </c>
      <c r="AM14" s="143">
        <v>-9022</v>
      </c>
      <c r="AN14" s="143">
        <v>-10954</v>
      </c>
      <c r="AO14" s="143">
        <v>-12234</v>
      </c>
      <c r="AP14" s="143">
        <v>-9882</v>
      </c>
      <c r="AQ14" s="143">
        <v>-11706</v>
      </c>
      <c r="AR14" s="143">
        <v>-13184</v>
      </c>
      <c r="AS14" s="143">
        <v>-14966</v>
      </c>
    </row>
    <row r="15" spans="1:45" ht="12.75">
      <c r="A15" s="240" t="s">
        <v>36</v>
      </c>
      <c r="B15" s="240" t="s">
        <v>39</v>
      </c>
      <c r="C15" s="240"/>
      <c r="E15" s="29" t="s">
        <v>41</v>
      </c>
      <c r="F15" s="117">
        <v>14823</v>
      </c>
      <c r="G15" s="117">
        <v>15094</v>
      </c>
      <c r="H15" s="117">
        <v>14988</v>
      </c>
      <c r="I15" s="117">
        <v>15205</v>
      </c>
      <c r="J15" s="117">
        <v>14546</v>
      </c>
      <c r="K15" s="117">
        <v>15026</v>
      </c>
      <c r="L15" s="117">
        <v>16008</v>
      </c>
      <c r="M15" s="117">
        <v>17035</v>
      </c>
      <c r="N15" s="117">
        <v>16757</v>
      </c>
      <c r="O15" s="117">
        <v>16383</v>
      </c>
      <c r="P15" s="117">
        <v>15275</v>
      </c>
      <c r="Q15" s="117">
        <v>15315</v>
      </c>
      <c r="R15" s="117">
        <v>14738</v>
      </c>
      <c r="S15" s="117">
        <v>15037</v>
      </c>
      <c r="T15" s="117">
        <v>14199</v>
      </c>
      <c r="U15" s="117">
        <v>14630</v>
      </c>
      <c r="V15" s="117">
        <v>14038</v>
      </c>
      <c r="W15" s="117">
        <v>14499</v>
      </c>
      <c r="X15" s="117">
        <v>15189</v>
      </c>
      <c r="Y15" s="117">
        <v>15613</v>
      </c>
      <c r="Z15" s="117">
        <v>15874</v>
      </c>
      <c r="AA15" s="117">
        <v>16399</v>
      </c>
      <c r="AB15" s="117">
        <v>16009</v>
      </c>
      <c r="AC15" s="117">
        <v>16693</v>
      </c>
      <c r="AD15" s="117">
        <v>16526</v>
      </c>
      <c r="AE15" s="117">
        <v>16970</v>
      </c>
      <c r="AF15" s="117">
        <v>16672</v>
      </c>
      <c r="AG15" s="117">
        <v>17264</v>
      </c>
      <c r="AH15" s="117">
        <v>17106</v>
      </c>
      <c r="AI15" s="117">
        <v>17460</v>
      </c>
      <c r="AJ15" s="117">
        <v>17844</v>
      </c>
      <c r="AK15" s="117">
        <v>18934</v>
      </c>
      <c r="AL15" s="117">
        <v>19628</v>
      </c>
      <c r="AM15" s="117">
        <v>18829</v>
      </c>
      <c r="AN15" s="117">
        <v>18409</v>
      </c>
      <c r="AO15" s="117">
        <v>18450</v>
      </c>
      <c r="AP15" s="117">
        <v>17971</v>
      </c>
      <c r="AQ15" s="117">
        <v>18421</v>
      </c>
      <c r="AR15" s="117">
        <v>18666</v>
      </c>
      <c r="AS15" s="117">
        <v>18725</v>
      </c>
    </row>
    <row r="16" spans="1:45" ht="12.75">
      <c r="A16" s="240" t="s">
        <v>36</v>
      </c>
      <c r="B16" s="240" t="s">
        <v>39</v>
      </c>
      <c r="C16" s="240"/>
      <c r="E16" s="29" t="s">
        <v>42</v>
      </c>
      <c r="F16" s="106">
        <v>2054</v>
      </c>
      <c r="G16" s="106">
        <v>2078</v>
      </c>
      <c r="H16" s="106">
        <v>2032</v>
      </c>
      <c r="I16" s="106">
        <v>2024</v>
      </c>
      <c r="J16" s="106">
        <v>1945</v>
      </c>
      <c r="K16" s="106">
        <v>2026</v>
      </c>
      <c r="L16" s="106">
        <v>2033</v>
      </c>
      <c r="M16" s="106">
        <v>2095</v>
      </c>
      <c r="N16" s="106">
        <v>2206</v>
      </c>
      <c r="O16" s="106">
        <v>2282</v>
      </c>
      <c r="P16" s="106">
        <v>2196</v>
      </c>
      <c r="Q16" s="106">
        <v>2274</v>
      </c>
      <c r="R16" s="106">
        <v>2283</v>
      </c>
      <c r="S16" s="106">
        <v>2311</v>
      </c>
      <c r="T16" s="106">
        <v>2207</v>
      </c>
      <c r="U16" s="106">
        <v>2295</v>
      </c>
      <c r="V16" s="106">
        <v>2169</v>
      </c>
      <c r="W16" s="106">
        <v>2249</v>
      </c>
      <c r="X16" s="106">
        <v>3806</v>
      </c>
      <c r="Y16" s="106">
        <v>6008</v>
      </c>
      <c r="Z16" s="106">
        <v>5756</v>
      </c>
      <c r="AA16" s="106">
        <v>5939</v>
      </c>
      <c r="AB16" s="106">
        <v>5618</v>
      </c>
      <c r="AC16" s="106">
        <v>5541</v>
      </c>
      <c r="AD16" s="106">
        <v>5396</v>
      </c>
      <c r="AE16" s="106">
        <v>5249</v>
      </c>
      <c r="AF16" s="106">
        <v>5006</v>
      </c>
      <c r="AG16" s="106">
        <v>4875</v>
      </c>
      <c r="AH16" s="106">
        <v>4777</v>
      </c>
      <c r="AI16" s="106">
        <v>4924</v>
      </c>
      <c r="AJ16" s="106">
        <v>5103</v>
      </c>
      <c r="AK16" s="106">
        <v>5350</v>
      </c>
      <c r="AL16" s="106">
        <v>5604</v>
      </c>
      <c r="AM16" s="106">
        <v>5371</v>
      </c>
      <c r="AN16" s="106">
        <v>5309</v>
      </c>
      <c r="AO16" s="106">
        <v>5200</v>
      </c>
      <c r="AP16" s="106">
        <v>4942</v>
      </c>
      <c r="AQ16" s="106">
        <v>5121</v>
      </c>
      <c r="AR16" s="106">
        <v>5345</v>
      </c>
      <c r="AS16" s="106">
        <v>4742</v>
      </c>
    </row>
    <row r="17" spans="1:45" ht="12.75">
      <c r="A17" s="240" t="s">
        <v>36</v>
      </c>
      <c r="B17" s="240" t="s">
        <v>39</v>
      </c>
      <c r="C17" s="240"/>
      <c r="E17" s="29" t="s">
        <v>47</v>
      </c>
      <c r="F17" s="106">
        <v>3713</v>
      </c>
      <c r="G17" s="106">
        <v>3792</v>
      </c>
      <c r="H17" s="106">
        <v>3803</v>
      </c>
      <c r="I17" s="106">
        <v>4437</v>
      </c>
      <c r="J17" s="106">
        <v>4085</v>
      </c>
      <c r="K17" s="106">
        <v>4166</v>
      </c>
      <c r="L17" s="106">
        <v>4404</v>
      </c>
      <c r="M17" s="106">
        <v>4602</v>
      </c>
      <c r="N17" s="106">
        <v>4736</v>
      </c>
      <c r="O17" s="106">
        <v>4910</v>
      </c>
      <c r="P17" s="106">
        <v>4858</v>
      </c>
      <c r="Q17" s="106">
        <v>5197</v>
      </c>
      <c r="R17" s="106">
        <v>5273</v>
      </c>
      <c r="S17" s="106">
        <v>5484</v>
      </c>
      <c r="T17" s="106">
        <v>5479</v>
      </c>
      <c r="U17" s="106">
        <v>6706</v>
      </c>
      <c r="V17" s="106">
        <v>6654</v>
      </c>
      <c r="W17" s="106">
        <v>6968</v>
      </c>
      <c r="X17" s="106">
        <v>7623</v>
      </c>
      <c r="Y17" s="106">
        <v>8717</v>
      </c>
      <c r="Z17" s="106">
        <v>8648</v>
      </c>
      <c r="AA17" s="106">
        <v>8732</v>
      </c>
      <c r="AB17" s="106">
        <v>8572</v>
      </c>
      <c r="AC17" s="106">
        <v>8003</v>
      </c>
      <c r="AD17" s="106">
        <v>6140</v>
      </c>
      <c r="AE17" s="106">
        <v>6338</v>
      </c>
      <c r="AF17" s="106">
        <v>6205</v>
      </c>
      <c r="AG17" s="106">
        <v>5263</v>
      </c>
      <c r="AH17" s="106">
        <v>5156</v>
      </c>
      <c r="AI17" s="106">
        <v>5254</v>
      </c>
      <c r="AJ17" s="106">
        <v>5378</v>
      </c>
      <c r="AK17" s="106">
        <v>5528</v>
      </c>
      <c r="AL17" s="106">
        <v>5652</v>
      </c>
      <c r="AM17" s="106">
        <v>5465</v>
      </c>
      <c r="AN17" s="106">
        <v>5332</v>
      </c>
      <c r="AO17" s="106">
        <v>4752</v>
      </c>
      <c r="AP17" s="106">
        <v>4407</v>
      </c>
      <c r="AQ17" s="106">
        <v>4207</v>
      </c>
      <c r="AR17" s="106">
        <v>4201</v>
      </c>
      <c r="AS17" s="106">
        <v>4009</v>
      </c>
    </row>
    <row r="18" spans="1:45" ht="12.75">
      <c r="A18" s="240" t="s">
        <v>36</v>
      </c>
      <c r="B18" s="240" t="s">
        <v>39</v>
      </c>
      <c r="C18" s="240"/>
      <c r="E18" s="29" t="s">
        <v>126</v>
      </c>
      <c r="F18" s="106">
        <v>1180</v>
      </c>
      <c r="G18" s="106">
        <v>1031</v>
      </c>
      <c r="H18" s="106">
        <v>1169</v>
      </c>
      <c r="I18" s="106">
        <v>1206</v>
      </c>
      <c r="J18" s="106">
        <v>1093</v>
      </c>
      <c r="K18" s="106">
        <v>1229</v>
      </c>
      <c r="L18" s="106">
        <v>1626</v>
      </c>
      <c r="M18" s="106">
        <v>2340</v>
      </c>
      <c r="N18" s="106">
        <v>2635</v>
      </c>
      <c r="O18" s="106">
        <v>2482</v>
      </c>
      <c r="P18" s="106">
        <v>2155</v>
      </c>
      <c r="Q18" s="106">
        <v>1874</v>
      </c>
      <c r="R18" s="106">
        <v>1888</v>
      </c>
      <c r="S18" s="106">
        <v>2044</v>
      </c>
      <c r="T18" s="106">
        <v>1556</v>
      </c>
      <c r="U18" s="106">
        <v>2175</v>
      </c>
      <c r="V18" s="106">
        <v>2122</v>
      </c>
      <c r="W18" s="106">
        <v>2250</v>
      </c>
      <c r="X18" s="106">
        <v>1883</v>
      </c>
      <c r="Y18" s="106">
        <v>1853</v>
      </c>
      <c r="Z18" s="106">
        <v>1979</v>
      </c>
      <c r="AA18" s="106">
        <v>2030</v>
      </c>
      <c r="AB18" s="106">
        <v>1977</v>
      </c>
      <c r="AC18" s="106">
        <v>2158</v>
      </c>
      <c r="AD18" s="106">
        <v>2797</v>
      </c>
      <c r="AE18" s="106">
        <v>2763</v>
      </c>
      <c r="AF18" s="106">
        <v>2811</v>
      </c>
      <c r="AG18" s="106">
        <v>3359</v>
      </c>
      <c r="AH18" s="106">
        <v>3423</v>
      </c>
      <c r="AI18" s="106">
        <v>3645</v>
      </c>
      <c r="AJ18" s="106">
        <v>4193</v>
      </c>
      <c r="AK18" s="106">
        <v>4664</v>
      </c>
      <c r="AL18" s="106">
        <v>5143</v>
      </c>
      <c r="AM18" s="106">
        <v>4643</v>
      </c>
      <c r="AN18" s="106">
        <v>4728</v>
      </c>
      <c r="AO18" s="106">
        <v>5244</v>
      </c>
      <c r="AP18" s="106">
        <v>5599</v>
      </c>
      <c r="AQ18" s="106">
        <v>5605</v>
      </c>
      <c r="AR18" s="106">
        <v>5562</v>
      </c>
      <c r="AS18" s="106">
        <v>5588</v>
      </c>
    </row>
    <row r="19" spans="1:45" ht="12.75">
      <c r="A19" s="240" t="s">
        <v>37</v>
      </c>
      <c r="B19" s="255" t="s">
        <v>285</v>
      </c>
      <c r="C19" s="240"/>
      <c r="E19" s="77" t="s">
        <v>127</v>
      </c>
      <c r="F19" s="145">
        <v>20528</v>
      </c>
      <c r="G19" s="145">
        <v>21728</v>
      </c>
      <c r="H19" s="145">
        <v>20879</v>
      </c>
      <c r="I19" s="145">
        <v>20743</v>
      </c>
      <c r="J19" s="145">
        <v>20018</v>
      </c>
      <c r="K19" s="145">
        <v>19574</v>
      </c>
      <c r="L19" s="145">
        <v>21716</v>
      </c>
      <c r="M19" s="145">
        <v>20941</v>
      </c>
      <c r="N19" s="145">
        <v>21192</v>
      </c>
      <c r="O19" s="145">
        <v>19435</v>
      </c>
      <c r="P19" s="145">
        <v>16792</v>
      </c>
      <c r="Q19" s="145">
        <v>19506</v>
      </c>
      <c r="R19" s="145">
        <v>20143</v>
      </c>
      <c r="S19" s="145">
        <v>19212</v>
      </c>
      <c r="T19" s="145">
        <v>19121</v>
      </c>
      <c r="U19" s="145">
        <v>19904</v>
      </c>
      <c r="V19" s="145">
        <v>20585</v>
      </c>
      <c r="W19" s="145">
        <v>20788</v>
      </c>
      <c r="X19" s="145">
        <v>23534</v>
      </c>
      <c r="Y19" s="145">
        <v>27011</v>
      </c>
      <c r="Z19" s="145">
        <v>28287</v>
      </c>
      <c r="AA19" s="145">
        <v>26630</v>
      </c>
      <c r="AB19" s="145">
        <v>26600</v>
      </c>
      <c r="AC19" s="145">
        <v>25890</v>
      </c>
      <c r="AD19" s="145">
        <v>29045</v>
      </c>
      <c r="AE19" s="145">
        <v>27322</v>
      </c>
      <c r="AF19" s="145">
        <v>26800</v>
      </c>
      <c r="AG19" s="145">
        <v>24961</v>
      </c>
      <c r="AH19" s="145">
        <v>25839</v>
      </c>
      <c r="AI19" s="145">
        <v>24030</v>
      </c>
      <c r="AJ19" s="145">
        <v>24900</v>
      </c>
      <c r="AK19" s="145">
        <v>26099</v>
      </c>
      <c r="AL19" s="145">
        <v>28620</v>
      </c>
      <c r="AM19" s="145">
        <v>25286</v>
      </c>
      <c r="AN19" s="145">
        <v>22824</v>
      </c>
      <c r="AO19" s="145">
        <v>21412</v>
      </c>
      <c r="AP19" s="145">
        <v>23037</v>
      </c>
      <c r="AQ19" s="145">
        <v>21648</v>
      </c>
      <c r="AR19" s="145">
        <v>20590</v>
      </c>
      <c r="AS19" s="145">
        <v>18098</v>
      </c>
    </row>
    <row r="20" spans="1:45" ht="12.75">
      <c r="A20" s="240" t="s">
        <v>37</v>
      </c>
      <c r="B20" s="240" t="s">
        <v>39</v>
      </c>
      <c r="C20" s="240"/>
      <c r="E20" s="62" t="s">
        <v>128</v>
      </c>
      <c r="F20" s="106">
        <v>19334</v>
      </c>
      <c r="G20" s="106">
        <v>20231</v>
      </c>
      <c r="H20" s="106">
        <v>20589</v>
      </c>
      <c r="I20" s="106">
        <v>20644</v>
      </c>
      <c r="J20" s="106">
        <v>20381</v>
      </c>
      <c r="K20" s="106">
        <v>20088</v>
      </c>
      <c r="L20" s="106">
        <v>20274</v>
      </c>
      <c r="M20" s="106">
        <v>20538</v>
      </c>
      <c r="N20" s="106">
        <v>21067</v>
      </c>
      <c r="O20" s="106">
        <v>20690</v>
      </c>
      <c r="P20" s="106">
        <v>19831</v>
      </c>
      <c r="Q20" s="106">
        <v>19411</v>
      </c>
      <c r="R20" s="106">
        <v>19825</v>
      </c>
      <c r="S20" s="106">
        <v>19751</v>
      </c>
      <c r="T20" s="106">
        <v>19556</v>
      </c>
      <c r="U20" s="106">
        <v>19545</v>
      </c>
      <c r="V20" s="106">
        <v>20245</v>
      </c>
      <c r="W20" s="106">
        <v>20466</v>
      </c>
      <c r="X20" s="106">
        <v>21031</v>
      </c>
      <c r="Y20" s="106">
        <v>22091</v>
      </c>
      <c r="Z20" s="106">
        <v>27960.5</v>
      </c>
      <c r="AA20" s="106">
        <v>27709.5</v>
      </c>
      <c r="AB20" s="106">
        <v>27344.666666666668</v>
      </c>
      <c r="AC20" s="106">
        <v>27069.75</v>
      </c>
      <c r="AD20" s="106">
        <v>27468</v>
      </c>
      <c r="AE20" s="106">
        <v>27826</v>
      </c>
      <c r="AF20" s="106">
        <v>27571</v>
      </c>
      <c r="AG20" s="130">
        <v>27148</v>
      </c>
      <c r="AH20" s="130">
        <v>25400</v>
      </c>
      <c r="AI20" s="130">
        <v>24943</v>
      </c>
      <c r="AJ20" s="130">
        <v>24933</v>
      </c>
      <c r="AK20" s="130">
        <v>25165.8</v>
      </c>
      <c r="AL20" s="130">
        <v>27359.5</v>
      </c>
      <c r="AM20" s="130">
        <v>26668.333333333332</v>
      </c>
      <c r="AN20" s="130">
        <v>25707.25</v>
      </c>
      <c r="AO20" s="130">
        <v>24848.2</v>
      </c>
      <c r="AP20" s="130">
        <v>22224.5</v>
      </c>
      <c r="AQ20" s="130">
        <v>22032.333333333332</v>
      </c>
      <c r="AR20" s="130">
        <v>21671.75</v>
      </c>
      <c r="AS20" s="130">
        <v>20957</v>
      </c>
    </row>
    <row r="21" spans="1:45" ht="12.75">
      <c r="A21" s="240" t="s">
        <v>36</v>
      </c>
      <c r="B21" s="240"/>
      <c r="C21" s="240"/>
      <c r="E21" s="53" t="s">
        <v>518</v>
      </c>
      <c r="F21" s="106">
        <v>22381</v>
      </c>
      <c r="G21" s="106">
        <v>23041</v>
      </c>
      <c r="H21" s="106">
        <v>23233</v>
      </c>
      <c r="I21" s="106">
        <v>23196</v>
      </c>
      <c r="J21" s="106">
        <v>21875</v>
      </c>
      <c r="K21" s="106">
        <v>21231</v>
      </c>
      <c r="L21" s="106">
        <v>21338</v>
      </c>
      <c r="M21" s="106">
        <v>21529</v>
      </c>
      <c r="N21" s="106">
        <v>21902</v>
      </c>
      <c r="O21" s="106">
        <v>21578</v>
      </c>
      <c r="P21" s="106">
        <v>20688</v>
      </c>
      <c r="Q21" s="106">
        <v>20320</v>
      </c>
      <c r="R21" s="106">
        <v>21239</v>
      </c>
      <c r="S21" s="106">
        <v>21165</v>
      </c>
      <c r="T21" s="106">
        <v>20940</v>
      </c>
      <c r="U21" s="106">
        <v>20940</v>
      </c>
      <c r="V21" s="106">
        <v>21765</v>
      </c>
      <c r="W21" s="106">
        <v>21876</v>
      </c>
      <c r="X21" s="106">
        <v>22359</v>
      </c>
      <c r="Y21" s="106">
        <v>23354</v>
      </c>
      <c r="Z21" s="106">
        <v>28941.5</v>
      </c>
      <c r="AA21" s="106">
        <v>28670.5</v>
      </c>
      <c r="AB21" s="106">
        <v>28282</v>
      </c>
      <c r="AC21" s="106">
        <v>28111.875</v>
      </c>
      <c r="AD21" s="106">
        <v>29280</v>
      </c>
      <c r="AE21" s="106">
        <v>29614</v>
      </c>
      <c r="AF21" s="106">
        <v>29329</v>
      </c>
      <c r="AG21" s="106">
        <v>28915</v>
      </c>
      <c r="AH21" s="106">
        <v>27662</v>
      </c>
      <c r="AI21" s="106">
        <v>27574</v>
      </c>
      <c r="AJ21" s="106">
        <v>27697</v>
      </c>
      <c r="AK21" s="106">
        <v>27940.52</v>
      </c>
      <c r="AL21" s="43" t="s">
        <v>30</v>
      </c>
      <c r="AM21" s="40" t="s">
        <v>30</v>
      </c>
      <c r="AN21" s="40" t="s">
        <v>30</v>
      </c>
      <c r="AO21" s="43" t="s">
        <v>30</v>
      </c>
      <c r="AP21" s="43" t="s">
        <v>30</v>
      </c>
      <c r="AQ21" s="43" t="s">
        <v>30</v>
      </c>
      <c r="AR21" s="43" t="s">
        <v>30</v>
      </c>
      <c r="AS21" s="43" t="s">
        <v>30</v>
      </c>
    </row>
    <row r="22" spans="1:43" ht="12.75">
      <c r="A22" s="240" t="s">
        <v>38</v>
      </c>
      <c r="B22" s="240"/>
      <c r="C22" s="240"/>
      <c r="E22" s="53"/>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43"/>
      <c r="AM22" s="40"/>
      <c r="AN22" s="40"/>
      <c r="AO22" s="43"/>
      <c r="AP22" s="43"/>
      <c r="AQ22" s="43"/>
    </row>
    <row r="23" spans="1:5" ht="66">
      <c r="A23" s="240" t="s">
        <v>76</v>
      </c>
      <c r="B23" s="240"/>
      <c r="C23" s="240"/>
      <c r="E23" s="213" t="s">
        <v>517</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pageSetUpPr fitToPage="1"/>
  </sheetPr>
  <dimension ref="A1:AK135"/>
  <sheetViews>
    <sheetView zoomScaleSheetLayoutView="100" zoomScalePageLayoutView="0" workbookViewId="0" topLeftCell="A115">
      <selection activeCell="AC137" sqref="AC137"/>
    </sheetView>
  </sheetViews>
  <sheetFormatPr defaultColWidth="9.140625" defaultRowHeight="12.75"/>
  <cols>
    <col min="1" max="1" width="11.140625" style="240" bestFit="1" customWidth="1"/>
    <col min="2" max="2" width="11.140625" style="40" bestFit="1" customWidth="1"/>
    <col min="3" max="3" width="11.28125" style="40" bestFit="1" customWidth="1"/>
    <col min="4" max="4" width="23.421875" style="40" hidden="1" customWidth="1"/>
    <col min="5" max="5" width="47.7109375" style="40" customWidth="1"/>
    <col min="6" max="7" width="11.00390625" style="40" hidden="1" customWidth="1"/>
    <col min="8" max="13" width="0" style="40" hidden="1" customWidth="1"/>
    <col min="14" max="17" width="9.28125" style="40" hidden="1" customWidth="1"/>
    <col min="18" max="18" width="8.57421875" style="40" hidden="1" customWidth="1"/>
    <col min="19" max="21" width="9.140625" style="40" hidden="1" customWidth="1"/>
    <col min="22" max="25" width="9.28125" style="40" hidden="1" customWidth="1"/>
    <col min="26" max="28" width="9.28125" style="40" bestFit="1" customWidth="1"/>
    <col min="29" max="29" width="9.140625" style="40" customWidth="1"/>
    <col min="30" max="30" width="8.00390625" style="40" bestFit="1" customWidth="1"/>
    <col min="31" max="16384" width="9.140625" style="40" customWidth="1"/>
  </cols>
  <sheetData>
    <row r="1" spans="1:5" ht="17.25">
      <c r="A1" s="249">
        <v>42735</v>
      </c>
      <c r="B1" s="97" t="s">
        <v>141</v>
      </c>
      <c r="C1" s="98"/>
      <c r="D1" s="99" t="str">
        <f>Company</f>
        <v>AB Electrolux</v>
      </c>
      <c r="E1" s="99" t="str">
        <f>Company</f>
        <v>AB Electrolux</v>
      </c>
    </row>
    <row r="2" spans="1:5" ht="12.75">
      <c r="A2" s="250"/>
      <c r="B2" s="97" t="s">
        <v>143</v>
      </c>
      <c r="C2" s="98"/>
      <c r="D2" s="100">
        <f>A1</f>
        <v>42735</v>
      </c>
      <c r="E2" s="101">
        <f>A1</f>
        <v>42735</v>
      </c>
    </row>
    <row r="3" spans="1:5" ht="12.75">
      <c r="A3" s="250"/>
      <c r="B3" s="97" t="s">
        <v>144</v>
      </c>
      <c r="C3" s="98" t="s">
        <v>145</v>
      </c>
      <c r="D3" s="102" t="s">
        <v>146</v>
      </c>
      <c r="E3" s="102" t="s">
        <v>147</v>
      </c>
    </row>
    <row r="4" spans="1:5" ht="12.75">
      <c r="A4" s="240" t="s">
        <v>34</v>
      </c>
      <c r="B4" s="97" t="s">
        <v>148</v>
      </c>
      <c r="D4" s="34" t="s">
        <v>370</v>
      </c>
      <c r="E4" s="34" t="s">
        <v>370</v>
      </c>
    </row>
    <row r="5" spans="2:29" ht="12.75">
      <c r="B5" s="97" t="s">
        <v>150</v>
      </c>
      <c r="C5" s="40" t="s">
        <v>284</v>
      </c>
      <c r="D5" s="34"/>
      <c r="E5" s="34"/>
      <c r="R5" s="168"/>
      <c r="S5" s="168"/>
      <c r="T5" s="168"/>
      <c r="U5" s="168"/>
      <c r="V5" s="168"/>
      <c r="Z5" s="173"/>
      <c r="AA5" s="173"/>
      <c r="AB5" s="173"/>
      <c r="AC5" s="173"/>
    </row>
    <row r="6" spans="1:37" s="41" customFormat="1" ht="12.75">
      <c r="A6" s="245" t="s">
        <v>35</v>
      </c>
      <c r="B6" s="113" t="s">
        <v>149</v>
      </c>
      <c r="C6" s="103" t="s">
        <v>284</v>
      </c>
      <c r="E6" s="126" t="s">
        <v>586</v>
      </c>
      <c r="F6" s="155" t="s">
        <v>8</v>
      </c>
      <c r="G6" s="155" t="s">
        <v>9</v>
      </c>
      <c r="H6" s="155" t="s">
        <v>338</v>
      </c>
      <c r="I6" s="155" t="s">
        <v>355</v>
      </c>
      <c r="J6" s="155" t="s">
        <v>362</v>
      </c>
      <c r="K6" s="155" t="s">
        <v>367</v>
      </c>
      <c r="L6" s="155" t="s">
        <v>371</v>
      </c>
      <c r="M6" s="155" t="s">
        <v>372</v>
      </c>
      <c r="N6" s="155" t="s">
        <v>378</v>
      </c>
      <c r="O6" s="155" t="s">
        <v>397</v>
      </c>
      <c r="P6" s="87" t="s">
        <v>398</v>
      </c>
      <c r="Q6" s="87" t="s">
        <v>400</v>
      </c>
      <c r="R6" s="87" t="s">
        <v>405</v>
      </c>
      <c r="S6" s="87" t="s">
        <v>409</v>
      </c>
      <c r="T6" s="87" t="s">
        <v>411</v>
      </c>
      <c r="U6" s="87" t="s">
        <v>414</v>
      </c>
      <c r="V6" s="87" t="s">
        <v>421</v>
      </c>
      <c r="W6" s="87" t="s">
        <v>429</v>
      </c>
      <c r="X6" s="87" t="s">
        <v>431</v>
      </c>
      <c r="Y6" s="87" t="s">
        <v>432</v>
      </c>
      <c r="Z6" s="87" t="s">
        <v>440</v>
      </c>
      <c r="AA6" s="87" t="s">
        <v>441</v>
      </c>
      <c r="AB6" s="87" t="s">
        <v>442</v>
      </c>
      <c r="AC6" s="87" t="s">
        <v>443</v>
      </c>
      <c r="AD6" s="87" t="s">
        <v>445</v>
      </c>
      <c r="AE6" s="87" t="s">
        <v>447</v>
      </c>
      <c r="AF6" s="87" t="s">
        <v>448</v>
      </c>
      <c r="AG6" s="87" t="s">
        <v>467</v>
      </c>
      <c r="AH6" s="87" t="s">
        <v>469</v>
      </c>
      <c r="AI6" s="87" t="s">
        <v>471</v>
      </c>
      <c r="AJ6" s="87" t="s">
        <v>605</v>
      </c>
      <c r="AK6" s="87" t="s">
        <v>608</v>
      </c>
    </row>
    <row r="7" spans="1:5" s="33" customFormat="1" ht="12.75">
      <c r="A7" s="238" t="s">
        <v>571</v>
      </c>
      <c r="B7" s="238"/>
      <c r="C7" s="238"/>
      <c r="E7" s="33" t="s">
        <v>31</v>
      </c>
    </row>
    <row r="8" spans="1:8" ht="12.75">
      <c r="A8" s="240" t="s">
        <v>35</v>
      </c>
      <c r="B8" s="240"/>
      <c r="C8" s="240"/>
      <c r="E8" s="119" t="s">
        <v>380</v>
      </c>
      <c r="F8" s="1"/>
      <c r="G8" s="1"/>
      <c r="H8" s="1"/>
    </row>
    <row r="9" spans="1:37" ht="12.75">
      <c r="A9" s="240" t="s">
        <v>36</v>
      </c>
      <c r="B9" s="240"/>
      <c r="C9" s="240"/>
      <c r="E9" s="49" t="s">
        <v>237</v>
      </c>
      <c r="F9" s="9">
        <v>9680</v>
      </c>
      <c r="G9" s="9">
        <v>9634</v>
      </c>
      <c r="H9" s="9">
        <v>10507</v>
      </c>
      <c r="I9" s="9">
        <v>10679</v>
      </c>
      <c r="J9" s="9">
        <v>8921</v>
      </c>
      <c r="K9" s="9">
        <v>8603</v>
      </c>
      <c r="L9" s="9">
        <v>9395</v>
      </c>
      <c r="M9" s="9">
        <v>9677</v>
      </c>
      <c r="N9" s="9">
        <v>7656</v>
      </c>
      <c r="O9" s="9" t="e">
        <f>+#REF!</f>
        <v>#REF!</v>
      </c>
      <c r="P9" s="9" t="e">
        <f>+#REF!</f>
        <v>#REF!</v>
      </c>
      <c r="Q9" s="9" t="e">
        <f>+#REF!</f>
        <v>#REF!</v>
      </c>
      <c r="R9" s="9">
        <v>8265</v>
      </c>
      <c r="S9" s="9">
        <v>8216</v>
      </c>
      <c r="T9" s="9">
        <v>8581</v>
      </c>
      <c r="U9" s="9">
        <v>9216</v>
      </c>
      <c r="V9" s="9">
        <v>7595</v>
      </c>
      <c r="W9" s="9">
        <v>8040</v>
      </c>
      <c r="X9" s="9">
        <v>8520</v>
      </c>
      <c r="Y9" s="9">
        <v>9281</v>
      </c>
      <c r="Z9" s="9">
        <v>7865</v>
      </c>
      <c r="AA9" s="9">
        <v>8107</v>
      </c>
      <c r="AB9" s="9">
        <v>8741</v>
      </c>
      <c r="AC9" s="9">
        <v>9725</v>
      </c>
      <c r="AD9" s="9">
        <v>8608</v>
      </c>
      <c r="AE9" s="9">
        <v>8699</v>
      </c>
      <c r="AF9" s="9">
        <v>9540</v>
      </c>
      <c r="AG9" s="9">
        <v>10332</v>
      </c>
      <c r="AH9" s="9">
        <v>9001</v>
      </c>
      <c r="AI9" s="9">
        <v>8897</v>
      </c>
      <c r="AJ9" s="9">
        <v>9579</v>
      </c>
      <c r="AK9" s="9">
        <v>10367</v>
      </c>
    </row>
    <row r="10" spans="1:37" ht="12.75">
      <c r="A10" s="240" t="s">
        <v>36</v>
      </c>
      <c r="B10" s="240"/>
      <c r="C10" s="240" t="s">
        <v>530</v>
      </c>
      <c r="E10" s="49" t="s">
        <v>542</v>
      </c>
      <c r="F10" s="10"/>
      <c r="G10" s="10"/>
      <c r="H10" s="10"/>
      <c r="I10" s="10"/>
      <c r="J10" s="10"/>
      <c r="K10" s="10"/>
      <c r="L10" s="10"/>
      <c r="M10" s="10"/>
      <c r="N10" s="10">
        <v>-5.7</v>
      </c>
      <c r="O10" s="10" t="e">
        <f>+#REF!</f>
        <v>#REF!</v>
      </c>
      <c r="P10" s="10" t="e">
        <f>+#REF!</f>
        <v>#REF!</v>
      </c>
      <c r="Q10" s="10" t="e">
        <f>+#REF!</f>
        <v>#REF!</v>
      </c>
      <c r="R10" s="10">
        <v>7.8</v>
      </c>
      <c r="S10" s="10">
        <v>7.6</v>
      </c>
      <c r="T10" s="10">
        <v>1.6</v>
      </c>
      <c r="U10" s="10">
        <v>-2.5</v>
      </c>
      <c r="V10" s="10">
        <v>-3.8</v>
      </c>
      <c r="W10" s="10">
        <v>2.5</v>
      </c>
      <c r="X10" s="10">
        <v>-0.3</v>
      </c>
      <c r="Y10" s="10">
        <v>1.1</v>
      </c>
      <c r="Z10" s="10">
        <v>1.3</v>
      </c>
      <c r="AA10" s="10">
        <v>-2.2</v>
      </c>
      <c r="AB10" s="10">
        <v>-1.3</v>
      </c>
      <c r="AC10" s="10">
        <v>1.3</v>
      </c>
      <c r="AD10" s="10">
        <v>3</v>
      </c>
      <c r="AE10" s="10">
        <v>2.7</v>
      </c>
      <c r="AF10" s="10">
        <v>5.4</v>
      </c>
      <c r="AG10" s="10">
        <v>6.1</v>
      </c>
      <c r="AH10" s="10">
        <v>7.1</v>
      </c>
      <c r="AI10" s="10">
        <v>5.2</v>
      </c>
      <c r="AJ10" s="10">
        <v>2.1</v>
      </c>
      <c r="AK10" s="10">
        <v>0.3</v>
      </c>
    </row>
    <row r="11" spans="1:37" ht="12.75">
      <c r="A11" s="240" t="s">
        <v>36</v>
      </c>
      <c r="B11" s="240"/>
      <c r="C11" s="240"/>
      <c r="E11" s="49" t="s">
        <v>17</v>
      </c>
      <c r="F11" s="9">
        <v>112</v>
      </c>
      <c r="G11" s="9">
        <v>255</v>
      </c>
      <c r="H11" s="9">
        <v>903</v>
      </c>
      <c r="I11" s="9">
        <v>642</v>
      </c>
      <c r="J11" s="9">
        <v>499</v>
      </c>
      <c r="K11" s="9">
        <v>453</v>
      </c>
      <c r="L11" s="9">
        <v>898</v>
      </c>
      <c r="M11" s="9">
        <v>447</v>
      </c>
      <c r="N11" s="9">
        <v>311</v>
      </c>
      <c r="O11" s="9" t="e">
        <f>+#REF!</f>
        <v>#REF!</v>
      </c>
      <c r="P11" s="9" t="e">
        <f>+#REF!</f>
        <v>#REF!</v>
      </c>
      <c r="Q11" s="9" t="e">
        <f>+#REF!</f>
        <v>#REF!</v>
      </c>
      <c r="R11" s="9">
        <v>271</v>
      </c>
      <c r="S11" s="9">
        <v>205</v>
      </c>
      <c r="T11" s="9">
        <v>294</v>
      </c>
      <c r="U11" s="9">
        <v>335</v>
      </c>
      <c r="V11" s="9">
        <v>11</v>
      </c>
      <c r="W11" s="9">
        <v>-2</v>
      </c>
      <c r="X11" s="9">
        <v>111</v>
      </c>
      <c r="Y11" s="9">
        <v>227</v>
      </c>
      <c r="Z11" s="9">
        <v>142</v>
      </c>
      <c r="AA11" s="9">
        <v>-901</v>
      </c>
      <c r="AB11" s="9">
        <v>484</v>
      </c>
      <c r="AC11" s="9">
        <v>507</v>
      </c>
      <c r="AD11" s="9">
        <v>371</v>
      </c>
      <c r="AE11" s="9">
        <v>426</v>
      </c>
      <c r="AF11" s="9">
        <v>605</v>
      </c>
      <c r="AG11" s="9">
        <v>765</v>
      </c>
      <c r="AH11" s="9">
        <v>553</v>
      </c>
      <c r="AI11" s="9">
        <v>567</v>
      </c>
      <c r="AJ11" s="9">
        <v>680</v>
      </c>
      <c r="AK11" s="9">
        <v>746</v>
      </c>
    </row>
    <row r="12" spans="1:37" ht="12.75">
      <c r="A12" s="240" t="s">
        <v>36</v>
      </c>
      <c r="B12" s="240" t="s">
        <v>39</v>
      </c>
      <c r="C12" s="240" t="s">
        <v>530</v>
      </c>
      <c r="E12" s="49" t="s">
        <v>597</v>
      </c>
      <c r="F12" s="10">
        <v>1.2</v>
      </c>
      <c r="G12" s="10">
        <v>2.6</v>
      </c>
      <c r="H12" s="10">
        <v>8.6</v>
      </c>
      <c r="I12" s="10">
        <v>6</v>
      </c>
      <c r="J12" s="10">
        <v>5.6</v>
      </c>
      <c r="K12" s="10">
        <v>5.3</v>
      </c>
      <c r="L12" s="10">
        <v>9.6</v>
      </c>
      <c r="M12" s="10">
        <v>4.6</v>
      </c>
      <c r="N12" s="10">
        <v>4.062173458725183</v>
      </c>
      <c r="O12" s="10" t="e">
        <f>+#REF!</f>
        <v>#REF!</v>
      </c>
      <c r="P12" s="10" t="e">
        <f>+#REF!</f>
        <v>#REF!</v>
      </c>
      <c r="Q12" s="10" t="e">
        <f>+#REF!</f>
        <v>#REF!</v>
      </c>
      <c r="R12" s="10">
        <v>3.2788868723532967</v>
      </c>
      <c r="S12" s="10">
        <v>2.495131450827653</v>
      </c>
      <c r="T12" s="10">
        <v>3.4261741055821</v>
      </c>
      <c r="U12" s="10">
        <v>3.634982638888889</v>
      </c>
      <c r="V12" s="10">
        <v>0.1448321263989467</v>
      </c>
      <c r="W12" s="10">
        <v>-0.02487562189054726</v>
      </c>
      <c r="X12" s="10">
        <v>1.3028169014084507</v>
      </c>
      <c r="Y12" s="10">
        <v>2.445857127464713</v>
      </c>
      <c r="Z12" s="10">
        <v>1.8054672600127146</v>
      </c>
      <c r="AA12" s="10">
        <v>-11.11385222647095</v>
      </c>
      <c r="AB12" s="10">
        <v>5.5371238988674065</v>
      </c>
      <c r="AC12" s="10">
        <v>5.213367609254499</v>
      </c>
      <c r="AD12" s="10">
        <v>4.309944237918216</v>
      </c>
      <c r="AE12" s="10">
        <v>4.897114610874813</v>
      </c>
      <c r="AF12" s="10">
        <v>6.341719077568134</v>
      </c>
      <c r="AG12" s="10">
        <v>7.40418118466899</v>
      </c>
      <c r="AH12" s="10">
        <v>6.143761804243973</v>
      </c>
      <c r="AI12" s="10">
        <v>6.372934697088907</v>
      </c>
      <c r="AJ12" s="10">
        <v>7.098862094164319</v>
      </c>
      <c r="AK12" s="10">
        <v>7.195910099353718</v>
      </c>
    </row>
    <row r="13" spans="1:37" ht="12.75">
      <c r="A13" s="240" t="s">
        <v>38</v>
      </c>
      <c r="B13" s="240"/>
      <c r="C13" s="240"/>
      <c r="E13" s="49"/>
      <c r="F13" s="9"/>
      <c r="G13" s="9"/>
      <c r="H13" s="9"/>
      <c r="I13" s="9"/>
      <c r="J13" s="9"/>
      <c r="K13" s="9"/>
      <c r="L13" s="9"/>
      <c r="M13" s="9"/>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37" ht="12.75">
      <c r="A14" s="240" t="s">
        <v>35</v>
      </c>
      <c r="B14" s="240"/>
      <c r="C14" s="240"/>
      <c r="E14" s="119" t="s">
        <v>381</v>
      </c>
      <c r="F14" s="1"/>
      <c r="G14" s="1"/>
      <c r="H14" s="1"/>
      <c r="I14" s="1"/>
      <c r="J14" s="1"/>
      <c r="K14" s="1"/>
      <c r="L14" s="1"/>
      <c r="M14" s="1"/>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row>
    <row r="15" spans="1:37" ht="12.75">
      <c r="A15" s="240" t="s">
        <v>36</v>
      </c>
      <c r="B15" s="240"/>
      <c r="C15" s="240"/>
      <c r="E15" s="49" t="s">
        <v>10</v>
      </c>
      <c r="F15" s="9">
        <v>8398</v>
      </c>
      <c r="G15" s="9">
        <v>9058</v>
      </c>
      <c r="H15" s="9">
        <v>8136</v>
      </c>
      <c r="I15" s="9">
        <v>7102</v>
      </c>
      <c r="J15" s="9">
        <v>7305</v>
      </c>
      <c r="K15" s="9">
        <v>9308</v>
      </c>
      <c r="L15" s="9">
        <v>7604</v>
      </c>
      <c r="M15" s="9">
        <v>6752</v>
      </c>
      <c r="N15" s="9">
        <v>6728</v>
      </c>
      <c r="O15" s="9" t="e">
        <f>+#REF!</f>
        <v>#REF!</v>
      </c>
      <c r="P15" s="9" t="e">
        <f>+#REF!</f>
        <v>#REF!</v>
      </c>
      <c r="Q15" s="9" t="e">
        <f>+#REF!</f>
        <v>#REF!</v>
      </c>
      <c r="R15" s="9">
        <v>7107</v>
      </c>
      <c r="S15" s="9">
        <v>8599</v>
      </c>
      <c r="T15" s="9">
        <v>7771</v>
      </c>
      <c r="U15" s="9">
        <v>7207</v>
      </c>
      <c r="V15" s="9">
        <v>7678</v>
      </c>
      <c r="W15" s="9">
        <v>8448</v>
      </c>
      <c r="X15" s="9">
        <v>8165</v>
      </c>
      <c r="Y15" s="9">
        <v>7573</v>
      </c>
      <c r="Z15" s="9">
        <v>7664</v>
      </c>
      <c r="AA15" s="9">
        <v>8464</v>
      </c>
      <c r="AB15" s="9">
        <v>9089</v>
      </c>
      <c r="AC15" s="9">
        <v>8924</v>
      </c>
      <c r="AD15" s="9">
        <v>9313</v>
      </c>
      <c r="AE15" s="9">
        <v>11717</v>
      </c>
      <c r="AF15" s="9">
        <v>11610</v>
      </c>
      <c r="AG15" s="9">
        <v>10413</v>
      </c>
      <c r="AH15" s="9">
        <v>9937</v>
      </c>
      <c r="AI15" s="9">
        <v>11450</v>
      </c>
      <c r="AJ15" s="9">
        <v>11189</v>
      </c>
      <c r="AK15" s="9">
        <v>10826</v>
      </c>
    </row>
    <row r="16" spans="1:37" ht="12.75">
      <c r="A16" s="240" t="s">
        <v>36</v>
      </c>
      <c r="B16" s="240"/>
      <c r="C16" s="240" t="s">
        <v>530</v>
      </c>
      <c r="E16" s="49" t="s">
        <v>542</v>
      </c>
      <c r="F16" s="10"/>
      <c r="G16" s="10"/>
      <c r="H16" s="10"/>
      <c r="I16" s="10"/>
      <c r="J16" s="10"/>
      <c r="K16" s="10"/>
      <c r="L16" s="10"/>
      <c r="M16" s="10"/>
      <c r="N16" s="10">
        <v>1.8</v>
      </c>
      <c r="O16" s="10" t="e">
        <f>+#REF!</f>
        <v>#REF!</v>
      </c>
      <c r="P16" s="10" t="e">
        <f>+#REF!</f>
        <v>#REF!</v>
      </c>
      <c r="Q16" s="10" t="e">
        <f>+#REF!</f>
        <v>#REF!</v>
      </c>
      <c r="R16" s="10">
        <v>2.4</v>
      </c>
      <c r="S16" s="10">
        <v>3.1</v>
      </c>
      <c r="T16" s="10">
        <v>6.3</v>
      </c>
      <c r="U16" s="10">
        <v>17.7</v>
      </c>
      <c r="V16" s="10">
        <v>12.2</v>
      </c>
      <c r="W16" s="10">
        <v>3.2</v>
      </c>
      <c r="X16" s="10">
        <v>8</v>
      </c>
      <c r="Y16" s="10">
        <v>7.6</v>
      </c>
      <c r="Z16" s="10">
        <v>0.4</v>
      </c>
      <c r="AA16" s="10">
        <v>0.5</v>
      </c>
      <c r="AB16" s="10">
        <v>5</v>
      </c>
      <c r="AC16" s="10">
        <v>3</v>
      </c>
      <c r="AD16" s="10">
        <v>-3.6</v>
      </c>
      <c r="AE16" s="10">
        <v>11.4</v>
      </c>
      <c r="AF16" s="10">
        <v>7.1</v>
      </c>
      <c r="AG16" s="10">
        <v>4.2</v>
      </c>
      <c r="AH16" s="10">
        <v>5.7</v>
      </c>
      <c r="AI16" s="10">
        <v>-1.5</v>
      </c>
      <c r="AJ16" s="10">
        <v>-4.6</v>
      </c>
      <c r="AK16" s="10">
        <v>-2</v>
      </c>
    </row>
    <row r="17" spans="1:37" ht="12.75">
      <c r="A17" s="240" t="s">
        <v>36</v>
      </c>
      <c r="B17" s="240"/>
      <c r="C17" s="240"/>
      <c r="E17" s="49" t="s">
        <v>17</v>
      </c>
      <c r="F17" s="9">
        <v>-178</v>
      </c>
      <c r="G17" s="9">
        <v>478</v>
      </c>
      <c r="H17" s="9">
        <v>617</v>
      </c>
      <c r="I17" s="9">
        <v>382</v>
      </c>
      <c r="J17" s="9">
        <v>299</v>
      </c>
      <c r="K17" s="9">
        <v>439</v>
      </c>
      <c r="L17" s="9">
        <v>413</v>
      </c>
      <c r="M17" s="9">
        <v>291</v>
      </c>
      <c r="N17" s="9">
        <v>-71</v>
      </c>
      <c r="O17" s="9" t="e">
        <f>+#REF!</f>
        <v>#REF!</v>
      </c>
      <c r="P17" s="9" t="e">
        <f>+#REF!</f>
        <v>#REF!</v>
      </c>
      <c r="Q17" s="9" t="e">
        <f>+#REF!</f>
        <v>#REF!</v>
      </c>
      <c r="R17" s="9">
        <v>131</v>
      </c>
      <c r="S17" s="9">
        <v>488</v>
      </c>
      <c r="T17" s="9">
        <v>496</v>
      </c>
      <c r="U17" s="9">
        <v>337</v>
      </c>
      <c r="V17" s="9">
        <v>457</v>
      </c>
      <c r="W17" s="9">
        <v>663</v>
      </c>
      <c r="X17" s="9">
        <v>563</v>
      </c>
      <c r="Y17" s="9">
        <v>453</v>
      </c>
      <c r="Z17" s="9">
        <v>382</v>
      </c>
      <c r="AA17" s="9">
        <v>680</v>
      </c>
      <c r="AB17" s="9">
        <v>518</v>
      </c>
      <c r="AC17" s="9">
        <v>134</v>
      </c>
      <c r="AD17" s="9">
        <v>-57</v>
      </c>
      <c r="AE17" s="9">
        <v>401</v>
      </c>
      <c r="AF17" s="9">
        <v>743</v>
      </c>
      <c r="AG17" s="9">
        <v>493</v>
      </c>
      <c r="AH17" s="9">
        <v>495</v>
      </c>
      <c r="AI17" s="9">
        <v>742</v>
      </c>
      <c r="AJ17" s="9">
        <v>824</v>
      </c>
      <c r="AK17" s="9">
        <v>610</v>
      </c>
    </row>
    <row r="18" spans="1:37" ht="12.75">
      <c r="A18" s="240" t="s">
        <v>36</v>
      </c>
      <c r="B18" s="240" t="s">
        <v>39</v>
      </c>
      <c r="C18" s="240" t="s">
        <v>530</v>
      </c>
      <c r="E18" s="49" t="s">
        <v>598</v>
      </c>
      <c r="F18" s="10">
        <v>-2.1</v>
      </c>
      <c r="G18" s="10">
        <v>5.3</v>
      </c>
      <c r="H18" s="10">
        <v>7.6</v>
      </c>
      <c r="I18" s="10">
        <v>5.4</v>
      </c>
      <c r="J18" s="10">
        <v>4.1</v>
      </c>
      <c r="K18" s="10">
        <v>4.7</v>
      </c>
      <c r="L18" s="10">
        <v>5.4</v>
      </c>
      <c r="M18" s="10">
        <v>4.3</v>
      </c>
      <c r="N18" s="10">
        <v>-1.0552913198573126</v>
      </c>
      <c r="O18" s="10" t="e">
        <f>+#REF!</f>
        <v>#REF!</v>
      </c>
      <c r="P18" s="10" t="e">
        <f>+#REF!</f>
        <v>#REF!</v>
      </c>
      <c r="Q18" s="10" t="e">
        <f>+#REF!</f>
        <v>#REF!</v>
      </c>
      <c r="R18" s="10">
        <v>1.8432531307161955</v>
      </c>
      <c r="S18" s="10">
        <v>5.67507849749971</v>
      </c>
      <c r="T18" s="10">
        <v>6.382704928580621</v>
      </c>
      <c r="U18" s="10">
        <v>4.676009435271264</v>
      </c>
      <c r="V18" s="10">
        <v>5.952070851784319</v>
      </c>
      <c r="W18" s="10">
        <v>7.848011363636363</v>
      </c>
      <c r="X18" s="10">
        <v>6.895284751990202</v>
      </c>
      <c r="Y18" s="10">
        <v>5.981777366961574</v>
      </c>
      <c r="Z18" s="10">
        <v>5</v>
      </c>
      <c r="AA18" s="10">
        <v>8.034026465028356</v>
      </c>
      <c r="AB18" s="10">
        <v>5.69919683133458</v>
      </c>
      <c r="AC18" s="10">
        <v>1.5015688032272525</v>
      </c>
      <c r="AD18" s="10">
        <v>-0.6120476752926017</v>
      </c>
      <c r="AE18" s="10">
        <v>3.422377741742767</v>
      </c>
      <c r="AF18" s="10">
        <v>6.399655469422911</v>
      </c>
      <c r="AG18" s="10">
        <v>4.734466532219341</v>
      </c>
      <c r="AH18" s="10">
        <v>4.981382711079803</v>
      </c>
      <c r="AI18" s="10">
        <v>6.480349344978166</v>
      </c>
      <c r="AJ18" s="10">
        <v>7.36437572615962</v>
      </c>
      <c r="AK18" s="10">
        <v>5.634583410308516</v>
      </c>
    </row>
    <row r="19" spans="1:37" ht="12.75">
      <c r="A19" s="240" t="s">
        <v>38</v>
      </c>
      <c r="B19" s="240"/>
      <c r="C19" s="240"/>
      <c r="E19" s="49"/>
      <c r="F19" s="9"/>
      <c r="G19" s="9"/>
      <c r="H19" s="9"/>
      <c r="I19" s="9"/>
      <c r="J19" s="9"/>
      <c r="K19" s="9"/>
      <c r="L19" s="9"/>
      <c r="M19" s="9"/>
      <c r="N19" s="10"/>
      <c r="O19" s="10"/>
      <c r="P19" s="10"/>
      <c r="Q19" s="10"/>
      <c r="R19" s="10"/>
      <c r="S19" s="10"/>
      <c r="T19" s="10"/>
      <c r="U19" s="10"/>
      <c r="V19" s="10"/>
      <c r="W19" s="10"/>
      <c r="X19" s="10"/>
      <c r="Y19" s="10"/>
      <c r="Z19" s="10"/>
      <c r="AA19" s="10"/>
      <c r="AB19" s="10"/>
      <c r="AC19" s="10"/>
      <c r="AD19" s="10"/>
      <c r="AE19" s="10"/>
      <c r="AF19" s="10"/>
      <c r="AG19" s="10"/>
      <c r="AH19" s="10"/>
      <c r="AI19" s="10"/>
      <c r="AJ19" s="10"/>
      <c r="AK19" s="10"/>
    </row>
    <row r="20" spans="1:37" ht="12.75">
      <c r="A20" s="240" t="s">
        <v>35</v>
      </c>
      <c r="B20" s="240"/>
      <c r="C20" s="240"/>
      <c r="E20" s="119" t="s">
        <v>382</v>
      </c>
      <c r="F20" s="9"/>
      <c r="G20" s="9"/>
      <c r="H20" s="9"/>
      <c r="I20" s="9"/>
      <c r="J20" s="9"/>
      <c r="K20" s="9"/>
      <c r="L20" s="9"/>
      <c r="M20" s="9"/>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row r="21" spans="1:37" ht="12.75">
      <c r="A21" s="240" t="s">
        <v>36</v>
      </c>
      <c r="B21" s="240"/>
      <c r="C21" s="240"/>
      <c r="E21" s="49" t="s">
        <v>10</v>
      </c>
      <c r="F21" s="9">
        <v>2437</v>
      </c>
      <c r="G21" s="9">
        <v>3122</v>
      </c>
      <c r="H21" s="9">
        <v>3571</v>
      </c>
      <c r="I21" s="9">
        <v>4172</v>
      </c>
      <c r="J21" s="9">
        <v>3796</v>
      </c>
      <c r="K21" s="9">
        <v>3667</v>
      </c>
      <c r="L21" s="9">
        <v>3810</v>
      </c>
      <c r="M21" s="9">
        <v>4987</v>
      </c>
      <c r="N21" s="9">
        <v>3998</v>
      </c>
      <c r="O21" s="9" t="e">
        <f>+#REF!</f>
        <v>#REF!</v>
      </c>
      <c r="P21" s="9" t="e">
        <f>+#REF!</f>
        <v>#REF!</v>
      </c>
      <c r="Q21" s="9" t="e">
        <f>+#REF!</f>
        <v>#REF!</v>
      </c>
      <c r="R21" s="9">
        <v>5149</v>
      </c>
      <c r="S21" s="9">
        <v>5183</v>
      </c>
      <c r="T21" s="9">
        <v>5301</v>
      </c>
      <c r="U21" s="9">
        <v>6411</v>
      </c>
      <c r="V21" s="9">
        <v>4885</v>
      </c>
      <c r="W21" s="9">
        <v>5472</v>
      </c>
      <c r="X21" s="9">
        <v>4699</v>
      </c>
      <c r="Y21" s="9">
        <v>5639</v>
      </c>
      <c r="Z21" s="9">
        <v>4790</v>
      </c>
      <c r="AA21" s="9">
        <v>4064</v>
      </c>
      <c r="AB21" s="9">
        <v>5053</v>
      </c>
      <c r="AC21" s="9">
        <v>6134</v>
      </c>
      <c r="AD21" s="9">
        <v>5261</v>
      </c>
      <c r="AE21" s="9">
        <v>4476</v>
      </c>
      <c r="AF21" s="9">
        <v>4190</v>
      </c>
      <c r="AG21" s="9">
        <v>4619</v>
      </c>
      <c r="AH21" s="9">
        <v>3643</v>
      </c>
      <c r="AI21" s="9">
        <v>3659</v>
      </c>
      <c r="AJ21" s="9">
        <v>3968</v>
      </c>
      <c r="AK21" s="9">
        <v>4149</v>
      </c>
    </row>
    <row r="22" spans="1:37" ht="12.75">
      <c r="A22" s="240" t="s">
        <v>36</v>
      </c>
      <c r="B22" s="240"/>
      <c r="C22" s="240" t="s">
        <v>530</v>
      </c>
      <c r="E22" s="49" t="s">
        <v>542</v>
      </c>
      <c r="F22" s="10"/>
      <c r="G22" s="10"/>
      <c r="H22" s="10"/>
      <c r="I22" s="10"/>
      <c r="J22" s="10"/>
      <c r="K22" s="10"/>
      <c r="L22" s="10"/>
      <c r="M22" s="10"/>
      <c r="N22" s="10">
        <v>9.3</v>
      </c>
      <c r="O22" s="10" t="e">
        <f>+#REF!</f>
        <v>#REF!</v>
      </c>
      <c r="P22" s="10" t="e">
        <f>+#REF!</f>
        <v>#REF!</v>
      </c>
      <c r="Q22" s="10" t="e">
        <f>+#REF!</f>
        <v>#REF!</v>
      </c>
      <c r="R22" s="10">
        <v>32.8</v>
      </c>
      <c r="S22" s="10">
        <v>48</v>
      </c>
      <c r="T22" s="10">
        <v>45.2</v>
      </c>
      <c r="U22" s="10">
        <v>19.2</v>
      </c>
      <c r="V22" s="10">
        <v>7.4</v>
      </c>
      <c r="W22" s="10">
        <v>17.6</v>
      </c>
      <c r="X22" s="10">
        <v>1.6</v>
      </c>
      <c r="Y22" s="10">
        <v>0.4</v>
      </c>
      <c r="Z22" s="10">
        <v>14.8</v>
      </c>
      <c r="AA22" s="10">
        <v>-19</v>
      </c>
      <c r="AB22" s="10">
        <v>7.8</v>
      </c>
      <c r="AC22" s="10">
        <v>8.2</v>
      </c>
      <c r="AD22" s="10">
        <v>2</v>
      </c>
      <c r="AE22" s="10">
        <v>11.4</v>
      </c>
      <c r="AF22" s="10">
        <v>-5.1</v>
      </c>
      <c r="AG22" s="10">
        <v>-10.7</v>
      </c>
      <c r="AH22" s="10">
        <v>-11.3</v>
      </c>
      <c r="AI22" s="10">
        <v>-6.7</v>
      </c>
      <c r="AJ22" s="10">
        <v>-6.2</v>
      </c>
      <c r="AK22" s="10">
        <v>-17.7</v>
      </c>
    </row>
    <row r="23" spans="1:37" ht="12.75">
      <c r="A23" s="240" t="s">
        <v>36</v>
      </c>
      <c r="B23" s="240"/>
      <c r="C23" s="240"/>
      <c r="E23" s="49" t="s">
        <v>17</v>
      </c>
      <c r="F23" s="9">
        <v>34</v>
      </c>
      <c r="G23" s="9">
        <v>133</v>
      </c>
      <c r="H23" s="9">
        <v>296</v>
      </c>
      <c r="I23" s="9">
        <v>346</v>
      </c>
      <c r="J23" s="9">
        <v>206</v>
      </c>
      <c r="K23" s="9">
        <v>209</v>
      </c>
      <c r="L23" s="9">
        <v>199</v>
      </c>
      <c r="M23" s="9">
        <v>337</v>
      </c>
      <c r="N23" s="9">
        <v>139</v>
      </c>
      <c r="O23" s="9" t="e">
        <f>+#REF!</f>
        <v>#REF!</v>
      </c>
      <c r="P23" s="9" t="e">
        <f>+#REF!</f>
        <v>#REF!</v>
      </c>
      <c r="Q23" s="9" t="e">
        <f>+#REF!</f>
        <v>#REF!</v>
      </c>
      <c r="R23" s="9">
        <v>278</v>
      </c>
      <c r="S23" s="9">
        <v>316</v>
      </c>
      <c r="T23" s="9">
        <v>339</v>
      </c>
      <c r="U23" s="9">
        <v>657</v>
      </c>
      <c r="V23" s="9">
        <v>251</v>
      </c>
      <c r="W23" s="9">
        <v>261</v>
      </c>
      <c r="X23" s="9">
        <v>243</v>
      </c>
      <c r="Y23" s="9">
        <v>224</v>
      </c>
      <c r="Z23" s="9">
        <v>211</v>
      </c>
      <c r="AA23" s="9">
        <v>138</v>
      </c>
      <c r="AB23" s="9">
        <v>242</v>
      </c>
      <c r="AC23" s="9">
        <v>478</v>
      </c>
      <c r="AD23" s="9">
        <v>177</v>
      </c>
      <c r="AE23" s="9">
        <v>107</v>
      </c>
      <c r="AF23" s="9">
        <v>110</v>
      </c>
      <c r="AG23" s="9">
        <v>69</v>
      </c>
      <c r="AH23" s="9">
        <v>31</v>
      </c>
      <c r="AI23" s="9">
        <v>69</v>
      </c>
      <c r="AJ23" s="9">
        <v>19</v>
      </c>
      <c r="AK23" s="9">
        <v>-187</v>
      </c>
    </row>
    <row r="24" spans="1:37" ht="12.75">
      <c r="A24" s="240" t="s">
        <v>36</v>
      </c>
      <c r="B24" s="240" t="s">
        <v>39</v>
      </c>
      <c r="C24" s="240" t="s">
        <v>530</v>
      </c>
      <c r="E24" s="49" t="s">
        <v>599</v>
      </c>
      <c r="F24" s="10">
        <v>1.4</v>
      </c>
      <c r="G24" s="10">
        <v>4.3</v>
      </c>
      <c r="H24" s="10">
        <v>8.3</v>
      </c>
      <c r="I24" s="10">
        <v>8.3</v>
      </c>
      <c r="J24" s="10">
        <v>5.4</v>
      </c>
      <c r="K24" s="10">
        <v>5.7</v>
      </c>
      <c r="L24" s="10">
        <v>5.2</v>
      </c>
      <c r="M24" s="10">
        <v>6.8</v>
      </c>
      <c r="N24" s="10">
        <v>3.476738369184592</v>
      </c>
      <c r="O24" s="10" t="e">
        <f>+#REF!</f>
        <v>#REF!</v>
      </c>
      <c r="P24" s="10" t="e">
        <f>+#REF!</f>
        <v>#REF!</v>
      </c>
      <c r="Q24" s="10" t="e">
        <f>+#REF!</f>
        <v>#REF!</v>
      </c>
      <c r="R24" s="10">
        <v>5.399106622645173</v>
      </c>
      <c r="S24" s="10">
        <v>6.096855103222072</v>
      </c>
      <c r="T24" s="10">
        <v>6.395019807583475</v>
      </c>
      <c r="U24" s="10">
        <v>10.248011230697239</v>
      </c>
      <c r="V24" s="10">
        <v>5.138178096212897</v>
      </c>
      <c r="W24" s="10">
        <v>4.769736842105264</v>
      </c>
      <c r="X24" s="10">
        <v>5.171313045328793</v>
      </c>
      <c r="Y24" s="10">
        <v>3.9723355204823547</v>
      </c>
      <c r="Z24" s="10">
        <v>4.4050104384133615</v>
      </c>
      <c r="AA24" s="10">
        <v>3.395669291338583</v>
      </c>
      <c r="AB24" s="10">
        <v>4.789234118345537</v>
      </c>
      <c r="AC24" s="10">
        <v>7.7926312357352465</v>
      </c>
      <c r="AD24" s="10">
        <v>3.3643793955521764</v>
      </c>
      <c r="AE24" s="10">
        <v>2.390527256478999</v>
      </c>
      <c r="AF24" s="10">
        <v>2.6252983293556085</v>
      </c>
      <c r="AG24" s="10">
        <v>1.4938298332972504</v>
      </c>
      <c r="AH24" s="10">
        <v>0.8509470216854241</v>
      </c>
      <c r="AI24" s="10">
        <v>1.8857611369226566</v>
      </c>
      <c r="AJ24" s="10">
        <v>0.4788306451612903</v>
      </c>
      <c r="AK24" s="10">
        <v>-4.507110147023379</v>
      </c>
    </row>
    <row r="25" spans="1:37" ht="12.75">
      <c r="A25" s="240" t="s">
        <v>38</v>
      </c>
      <c r="B25" s="240"/>
      <c r="C25" s="240"/>
      <c r="E25" s="122"/>
      <c r="F25" s="9"/>
      <c r="G25" s="9"/>
      <c r="H25" s="9"/>
      <c r="I25" s="9"/>
      <c r="J25" s="9"/>
      <c r="K25" s="9"/>
      <c r="L25" s="9"/>
      <c r="M25" s="9"/>
      <c r="N25" s="10"/>
      <c r="O25" s="10"/>
      <c r="P25" s="10"/>
      <c r="Q25" s="10"/>
      <c r="R25" s="10"/>
      <c r="S25" s="10"/>
      <c r="T25" s="10"/>
      <c r="U25" s="10"/>
      <c r="V25" s="10"/>
      <c r="W25" s="10"/>
      <c r="X25" s="10"/>
      <c r="Y25" s="10"/>
      <c r="Z25" s="10"/>
      <c r="AA25" s="10"/>
      <c r="AB25" s="10"/>
      <c r="AC25" s="10"/>
      <c r="AD25" s="10"/>
      <c r="AE25" s="10"/>
      <c r="AF25" s="10"/>
      <c r="AG25" s="10"/>
      <c r="AH25" s="10"/>
      <c r="AI25" s="10"/>
      <c r="AJ25" s="10"/>
      <c r="AK25" s="10"/>
    </row>
    <row r="26" spans="1:37" ht="12.75">
      <c r="A26" s="240" t="s">
        <v>35</v>
      </c>
      <c r="B26" s="240"/>
      <c r="C26" s="240"/>
      <c r="E26" s="123" t="s">
        <v>383</v>
      </c>
      <c r="F26" s="9"/>
      <c r="G26" s="9"/>
      <c r="H26" s="9"/>
      <c r="I26" s="9"/>
      <c r="J26" s="9"/>
      <c r="K26" s="9"/>
      <c r="L26" s="9"/>
      <c r="M26" s="9"/>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37" ht="12.75">
      <c r="A27" s="240" t="s">
        <v>36</v>
      </c>
      <c r="B27" s="240"/>
      <c r="C27" s="240"/>
      <c r="E27" s="122" t="s">
        <v>10</v>
      </c>
      <c r="F27" s="9">
        <v>1533</v>
      </c>
      <c r="G27" s="9">
        <v>1787</v>
      </c>
      <c r="H27" s="9">
        <v>1746</v>
      </c>
      <c r="I27" s="9">
        <v>1971</v>
      </c>
      <c r="J27" s="9">
        <v>1666</v>
      </c>
      <c r="K27" s="9">
        <v>2035</v>
      </c>
      <c r="L27" s="9">
        <v>1909</v>
      </c>
      <c r="M27" s="9">
        <v>2069</v>
      </c>
      <c r="N27" s="9">
        <v>1746</v>
      </c>
      <c r="O27" s="9" t="e">
        <f>+#REF!</f>
        <v>#REF!</v>
      </c>
      <c r="P27" s="9" t="e">
        <f>+#REF!</f>
        <v>#REF!</v>
      </c>
      <c r="Q27" s="9" t="e">
        <f>+#REF!</f>
        <v>#REF!</v>
      </c>
      <c r="R27" s="9">
        <v>1841</v>
      </c>
      <c r="S27" s="9">
        <v>2198</v>
      </c>
      <c r="T27" s="9">
        <v>2107</v>
      </c>
      <c r="U27" s="9">
        <v>2259</v>
      </c>
      <c r="V27" s="9">
        <v>1948</v>
      </c>
      <c r="W27" s="9">
        <v>2227</v>
      </c>
      <c r="X27" s="9">
        <v>2321</v>
      </c>
      <c r="Y27" s="9">
        <v>2157</v>
      </c>
      <c r="Z27" s="9">
        <v>1928</v>
      </c>
      <c r="AA27" s="9">
        <v>2221</v>
      </c>
      <c r="AB27" s="9">
        <v>2342</v>
      </c>
      <c r="AC27" s="9">
        <v>2312</v>
      </c>
      <c r="AD27" s="9">
        <v>2241</v>
      </c>
      <c r="AE27" s="9">
        <v>2576</v>
      </c>
      <c r="AF27" s="9">
        <v>2192</v>
      </c>
      <c r="AG27" s="9">
        <v>2220</v>
      </c>
      <c r="AH27" s="9">
        <v>2022</v>
      </c>
      <c r="AI27" s="9">
        <v>2407</v>
      </c>
      <c r="AJ27" s="9">
        <v>2515</v>
      </c>
      <c r="AK27" s="9">
        <v>2436</v>
      </c>
    </row>
    <row r="28" spans="1:37" ht="12.75">
      <c r="A28" s="240" t="s">
        <v>36</v>
      </c>
      <c r="B28" s="240"/>
      <c r="C28" s="240" t="s">
        <v>530</v>
      </c>
      <c r="E28" s="49" t="s">
        <v>542</v>
      </c>
      <c r="F28" s="10"/>
      <c r="G28" s="10"/>
      <c r="H28" s="10"/>
      <c r="I28" s="10"/>
      <c r="J28" s="10"/>
      <c r="K28" s="10"/>
      <c r="L28" s="10"/>
      <c r="M28" s="10"/>
      <c r="N28" s="10">
        <v>5.7</v>
      </c>
      <c r="O28" s="10" t="e">
        <f>+#REF!</f>
        <v>#REF!</v>
      </c>
      <c r="P28" s="10" t="e">
        <f>+#REF!</f>
        <v>#REF!</v>
      </c>
      <c r="Q28" s="10" t="e">
        <f>+#REF!</f>
        <v>#REF!</v>
      </c>
      <c r="R28" s="10">
        <v>-0.8</v>
      </c>
      <c r="S28" s="10">
        <v>4.7</v>
      </c>
      <c r="T28" s="10">
        <v>3.6</v>
      </c>
      <c r="U28" s="10">
        <v>3.4</v>
      </c>
      <c r="V28" s="10">
        <v>10.5</v>
      </c>
      <c r="W28" s="10">
        <v>7.7</v>
      </c>
      <c r="X28" s="10">
        <v>20.2</v>
      </c>
      <c r="Y28" s="10">
        <v>4.3</v>
      </c>
      <c r="Z28" s="10">
        <v>8.4</v>
      </c>
      <c r="AA28" s="10">
        <v>3.3</v>
      </c>
      <c r="AB28" s="10">
        <v>-4.4</v>
      </c>
      <c r="AC28" s="10">
        <v>-4</v>
      </c>
      <c r="AD28" s="10">
        <v>-2.3</v>
      </c>
      <c r="AE28" s="10">
        <v>0.7</v>
      </c>
      <c r="AF28" s="10">
        <v>-13</v>
      </c>
      <c r="AG28" s="10">
        <v>-5.2</v>
      </c>
      <c r="AH28" s="10">
        <v>-5.4</v>
      </c>
      <c r="AI28" s="10">
        <v>-2</v>
      </c>
      <c r="AJ28" s="10">
        <v>10.700000000000001</v>
      </c>
      <c r="AK28" s="10">
        <v>1.7000000000000002</v>
      </c>
    </row>
    <row r="29" spans="1:37" ht="12.75">
      <c r="A29" s="240" t="s">
        <v>36</v>
      </c>
      <c r="B29" s="240"/>
      <c r="C29" s="240" t="s">
        <v>530</v>
      </c>
      <c r="E29" s="49" t="s">
        <v>546</v>
      </c>
      <c r="F29" s="10"/>
      <c r="G29" s="10"/>
      <c r="H29" s="10"/>
      <c r="I29" s="10"/>
      <c r="J29" s="10"/>
      <c r="K29" s="10"/>
      <c r="L29" s="10"/>
      <c r="M29" s="10"/>
      <c r="N29" s="10"/>
      <c r="O29" s="10"/>
      <c r="P29" s="10"/>
      <c r="Q29" s="10"/>
      <c r="R29" s="10"/>
      <c r="S29" s="10"/>
      <c r="T29" s="10"/>
      <c r="U29" s="10"/>
      <c r="V29" s="10"/>
      <c r="W29" s="10"/>
      <c r="X29" s="10"/>
      <c r="Y29" s="10"/>
      <c r="Z29" s="10">
        <v>0</v>
      </c>
      <c r="AA29" s="10">
        <v>0</v>
      </c>
      <c r="AB29" s="10">
        <v>0</v>
      </c>
      <c r="AC29" s="10">
        <v>2</v>
      </c>
      <c r="AD29" s="10">
        <v>1</v>
      </c>
      <c r="AE29" s="10">
        <v>0.8</v>
      </c>
      <c r="AF29" s="10">
        <v>1.6</v>
      </c>
      <c r="AG29" s="10">
        <v>0</v>
      </c>
      <c r="AH29" s="10">
        <v>0</v>
      </c>
      <c r="AI29" s="10">
        <v>0</v>
      </c>
      <c r="AJ29" s="10">
        <v>0.7</v>
      </c>
      <c r="AK29" s="10">
        <v>1.5</v>
      </c>
    </row>
    <row r="30" spans="1:37" ht="12.75">
      <c r="A30" s="240" t="s">
        <v>36</v>
      </c>
      <c r="B30" s="240"/>
      <c r="C30" s="240"/>
      <c r="E30" s="122" t="s">
        <v>17</v>
      </c>
      <c r="F30" s="9">
        <v>15</v>
      </c>
      <c r="G30" s="9">
        <v>51</v>
      </c>
      <c r="H30" s="9">
        <v>147</v>
      </c>
      <c r="I30" s="9">
        <v>165</v>
      </c>
      <c r="J30" s="9">
        <v>145</v>
      </c>
      <c r="K30" s="9">
        <v>207</v>
      </c>
      <c r="L30" s="9">
        <v>241</v>
      </c>
      <c r="M30" s="9">
        <v>200</v>
      </c>
      <c r="N30" s="9">
        <v>174</v>
      </c>
      <c r="O30" s="9" t="e">
        <f>+#REF!</f>
        <v>#REF!</v>
      </c>
      <c r="P30" s="9" t="e">
        <f>+#REF!</f>
        <v>#REF!</v>
      </c>
      <c r="Q30" s="9" t="e">
        <f>+#REF!</f>
        <v>#REF!</v>
      </c>
      <c r="R30" s="9">
        <v>155</v>
      </c>
      <c r="S30" s="9">
        <v>172</v>
      </c>
      <c r="T30" s="9">
        <v>208</v>
      </c>
      <c r="U30" s="9">
        <v>211</v>
      </c>
      <c r="V30" s="9">
        <v>106</v>
      </c>
      <c r="W30" s="9">
        <v>148</v>
      </c>
      <c r="X30" s="9">
        <v>117</v>
      </c>
      <c r="Y30" s="9">
        <v>96</v>
      </c>
      <c r="Z30" s="9">
        <v>11</v>
      </c>
      <c r="AA30" s="9">
        <v>102</v>
      </c>
      <c r="AB30" s="9">
        <v>125</v>
      </c>
      <c r="AC30" s="9">
        <v>200</v>
      </c>
      <c r="AD30" s="9">
        <v>52</v>
      </c>
      <c r="AE30" s="9">
        <v>135</v>
      </c>
      <c r="AF30" s="9">
        <v>54</v>
      </c>
      <c r="AG30" s="9">
        <v>123</v>
      </c>
      <c r="AH30" s="9">
        <v>95</v>
      </c>
      <c r="AI30" s="9">
        <v>150</v>
      </c>
      <c r="AJ30" s="9">
        <v>208</v>
      </c>
      <c r="AK30" s="9">
        <v>173</v>
      </c>
    </row>
    <row r="31" spans="1:37" ht="12.75">
      <c r="A31" s="240" t="s">
        <v>36</v>
      </c>
      <c r="B31" s="240" t="s">
        <v>39</v>
      </c>
      <c r="C31" s="240" t="s">
        <v>530</v>
      </c>
      <c r="E31" s="122" t="s">
        <v>600</v>
      </c>
      <c r="F31" s="10">
        <v>1</v>
      </c>
      <c r="G31" s="10">
        <v>2.9</v>
      </c>
      <c r="H31" s="10">
        <v>8.4</v>
      </c>
      <c r="I31" s="10">
        <v>8.4</v>
      </c>
      <c r="J31" s="10">
        <v>8.7</v>
      </c>
      <c r="K31" s="10">
        <v>10.2</v>
      </c>
      <c r="L31" s="10">
        <v>12.6</v>
      </c>
      <c r="M31" s="10">
        <v>9.7</v>
      </c>
      <c r="N31" s="10">
        <v>9.965635738831615</v>
      </c>
      <c r="O31" s="10" t="e">
        <f>+#REF!</f>
        <v>#REF!</v>
      </c>
      <c r="P31" s="10" t="e">
        <f>+#REF!</f>
        <v>#REF!</v>
      </c>
      <c r="Q31" s="10" t="e">
        <f>+#REF!</f>
        <v>#REF!</v>
      </c>
      <c r="R31" s="10">
        <v>8.419337316675719</v>
      </c>
      <c r="S31" s="10">
        <v>7.825295723384896</v>
      </c>
      <c r="T31" s="10">
        <v>9.871855719031798</v>
      </c>
      <c r="U31" s="10">
        <v>9.34041611332448</v>
      </c>
      <c r="V31" s="10">
        <v>5.441478439425051</v>
      </c>
      <c r="W31" s="10">
        <v>6.645711719802424</v>
      </c>
      <c r="X31" s="10">
        <v>5.040930633347695</v>
      </c>
      <c r="Y31" s="10">
        <v>4.450625869262865</v>
      </c>
      <c r="Z31" s="10">
        <v>0.5705394190871369</v>
      </c>
      <c r="AA31" s="10">
        <v>4.592525889239082</v>
      </c>
      <c r="AB31" s="10">
        <v>5.33731853116994</v>
      </c>
      <c r="AC31" s="10">
        <v>8.650519031141869</v>
      </c>
      <c r="AD31" s="10">
        <v>2.3203926818384653</v>
      </c>
      <c r="AE31" s="10">
        <v>5.240683229813665</v>
      </c>
      <c r="AF31" s="10">
        <v>2.4635036496350367</v>
      </c>
      <c r="AG31" s="10">
        <v>5.540540540540541</v>
      </c>
      <c r="AH31" s="10">
        <v>4.698318496538081</v>
      </c>
      <c r="AI31" s="10">
        <v>6.2318238471125875</v>
      </c>
      <c r="AJ31" s="10">
        <v>8.270377733598409</v>
      </c>
      <c r="AK31" s="10">
        <v>7.101806239737273</v>
      </c>
    </row>
    <row r="32" spans="1:37" ht="12.75">
      <c r="A32" s="240" t="s">
        <v>38</v>
      </c>
      <c r="B32" s="240"/>
      <c r="C32" s="240"/>
      <c r="E32" s="122"/>
      <c r="F32" s="9"/>
      <c r="G32" s="9"/>
      <c r="H32" s="9"/>
      <c r="I32" s="9"/>
      <c r="J32" s="9"/>
      <c r="K32" s="9"/>
      <c r="L32" s="9"/>
      <c r="M32" s="9"/>
      <c r="N32" s="10"/>
      <c r="O32" s="10"/>
      <c r="P32" s="10"/>
      <c r="Q32" s="10"/>
      <c r="R32" s="10"/>
      <c r="S32" s="10"/>
      <c r="T32" s="10"/>
      <c r="U32" s="10"/>
      <c r="V32" s="10"/>
      <c r="W32" s="10"/>
      <c r="X32" s="10"/>
      <c r="Y32" s="10"/>
      <c r="Z32" s="10"/>
      <c r="AA32" s="10"/>
      <c r="AB32" s="10"/>
      <c r="AC32" s="10"/>
      <c r="AD32" s="10"/>
      <c r="AE32" s="10"/>
      <c r="AF32" s="10"/>
      <c r="AG32" s="10"/>
      <c r="AH32" s="10"/>
      <c r="AI32" s="10"/>
      <c r="AJ32" s="10"/>
      <c r="AK32" s="10"/>
    </row>
    <row r="33" spans="1:37" ht="12.75">
      <c r="A33" s="240" t="s">
        <v>35</v>
      </c>
      <c r="B33" s="240"/>
      <c r="C33" s="240"/>
      <c r="E33" s="123" t="s">
        <v>379</v>
      </c>
      <c r="F33" s="9"/>
      <c r="G33" s="9"/>
      <c r="H33" s="9"/>
      <c r="I33" s="9"/>
      <c r="J33" s="9"/>
      <c r="K33" s="9"/>
      <c r="L33" s="9"/>
      <c r="M33" s="9"/>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1:37" ht="12.75">
      <c r="A34" s="240" t="s">
        <v>36</v>
      </c>
      <c r="B34" s="240"/>
      <c r="C34" s="240"/>
      <c r="E34" s="122" t="s">
        <v>10</v>
      </c>
      <c r="F34" s="9">
        <v>2041</v>
      </c>
      <c r="G34" s="9">
        <v>2029</v>
      </c>
      <c r="H34" s="9">
        <v>2026</v>
      </c>
      <c r="I34" s="9">
        <v>2368</v>
      </c>
      <c r="J34" s="9">
        <v>1936</v>
      </c>
      <c r="K34" s="9">
        <v>1966</v>
      </c>
      <c r="L34" s="9">
        <v>2106</v>
      </c>
      <c r="M34" s="9">
        <v>2414</v>
      </c>
      <c r="N34" s="9">
        <v>1930</v>
      </c>
      <c r="O34" s="9" t="e">
        <f>+#REF!</f>
        <v>#REF!</v>
      </c>
      <c r="P34" s="9" t="e">
        <f>+#REF!</f>
        <v>#REF!</v>
      </c>
      <c r="Q34" s="9" t="e">
        <f>+#REF!</f>
        <v>#REF!</v>
      </c>
      <c r="R34" s="9">
        <v>2105</v>
      </c>
      <c r="S34" s="9">
        <v>2105</v>
      </c>
      <c r="T34" s="9">
        <v>2112</v>
      </c>
      <c r="U34" s="9">
        <v>2689</v>
      </c>
      <c r="V34" s="9">
        <v>2020</v>
      </c>
      <c r="W34" s="9">
        <v>2104</v>
      </c>
      <c r="X34" s="9">
        <v>2131</v>
      </c>
      <c r="Y34" s="9">
        <v>2697</v>
      </c>
      <c r="Z34" s="9">
        <v>2001</v>
      </c>
      <c r="AA34" s="9">
        <v>1938</v>
      </c>
      <c r="AB34" s="9">
        <v>2075</v>
      </c>
      <c r="AC34" s="9">
        <v>2664</v>
      </c>
      <c r="AD34" s="9">
        <v>2139</v>
      </c>
      <c r="AE34" s="9">
        <v>2198</v>
      </c>
      <c r="AF34" s="9">
        <v>2169</v>
      </c>
      <c r="AG34" s="9">
        <v>2452</v>
      </c>
      <c r="AH34" s="9">
        <v>1927</v>
      </c>
      <c r="AI34" s="9">
        <v>1858</v>
      </c>
      <c r="AJ34" s="9">
        <v>1960</v>
      </c>
      <c r="AK34" s="9">
        <v>2438</v>
      </c>
    </row>
    <row r="35" spans="1:37" ht="12.75">
      <c r="A35" s="240" t="s">
        <v>36</v>
      </c>
      <c r="B35" s="240"/>
      <c r="C35" s="240" t="s">
        <v>530</v>
      </c>
      <c r="E35" s="49" t="s">
        <v>542</v>
      </c>
      <c r="F35" s="10"/>
      <c r="G35" s="10"/>
      <c r="H35" s="10"/>
      <c r="I35" s="10"/>
      <c r="J35" s="10"/>
      <c r="K35" s="10"/>
      <c r="L35" s="10"/>
      <c r="M35" s="10"/>
      <c r="N35" s="10">
        <v>8.5</v>
      </c>
      <c r="O35" s="10" t="e">
        <f>+#REF!</f>
        <v>#REF!</v>
      </c>
      <c r="P35" s="10" t="e">
        <f>+#REF!</f>
        <v>#REF!</v>
      </c>
      <c r="Q35" s="10" t="e">
        <f>+#REF!</f>
        <v>#REF!</v>
      </c>
      <c r="R35" s="10">
        <v>7.7</v>
      </c>
      <c r="S35" s="10">
        <v>13.2</v>
      </c>
      <c r="T35" s="10">
        <v>5.9</v>
      </c>
      <c r="U35" s="10">
        <v>7.5</v>
      </c>
      <c r="V35" s="10">
        <v>1.1</v>
      </c>
      <c r="W35" s="10">
        <v>6.5</v>
      </c>
      <c r="X35" s="10">
        <v>5.6</v>
      </c>
      <c r="Y35" s="10">
        <v>4.8</v>
      </c>
      <c r="Z35" s="10">
        <v>2</v>
      </c>
      <c r="AA35" s="10">
        <v>-6.6</v>
      </c>
      <c r="AB35" s="10">
        <v>-5.5</v>
      </c>
      <c r="AC35" s="10">
        <v>-6</v>
      </c>
      <c r="AD35" s="10">
        <v>-5.5</v>
      </c>
      <c r="AE35" s="10">
        <v>2.6</v>
      </c>
      <c r="AF35" s="10">
        <v>-0.5</v>
      </c>
      <c r="AG35" s="10">
        <v>-10.1</v>
      </c>
      <c r="AH35" s="10">
        <v>-6.1</v>
      </c>
      <c r="AI35" s="10">
        <v>-12.3</v>
      </c>
      <c r="AJ35" s="10">
        <v>-10.3</v>
      </c>
      <c r="AK35" s="10">
        <v>-4.3</v>
      </c>
    </row>
    <row r="36" spans="1:37" ht="12.75">
      <c r="A36" s="240" t="s">
        <v>36</v>
      </c>
      <c r="B36" s="240"/>
      <c r="C36" s="240"/>
      <c r="E36" s="122" t="s">
        <v>17</v>
      </c>
      <c r="F36" s="9">
        <v>75</v>
      </c>
      <c r="G36" s="9">
        <v>84</v>
      </c>
      <c r="H36" s="9">
        <v>238</v>
      </c>
      <c r="I36" s="9">
        <v>366</v>
      </c>
      <c r="J36" s="9">
        <v>211</v>
      </c>
      <c r="K36" s="9">
        <v>122</v>
      </c>
      <c r="L36" s="9">
        <v>198</v>
      </c>
      <c r="M36" s="9">
        <v>271</v>
      </c>
      <c r="N36" s="9">
        <v>114</v>
      </c>
      <c r="O36" s="9" t="e">
        <f>+#REF!</f>
        <v>#REF!</v>
      </c>
      <c r="P36" s="9" t="e">
        <f>+#REF!</f>
        <v>#REF!</v>
      </c>
      <c r="Q36" s="9" t="e">
        <f>+#REF!</f>
        <v>#REF!</v>
      </c>
      <c r="R36" s="9">
        <v>93</v>
      </c>
      <c r="S36" s="9">
        <v>25</v>
      </c>
      <c r="T36" s="9">
        <v>124</v>
      </c>
      <c r="U36" s="9">
        <v>219</v>
      </c>
      <c r="V36" s="9">
        <v>17</v>
      </c>
      <c r="W36" s="9">
        <v>50</v>
      </c>
      <c r="X36" s="9">
        <v>97</v>
      </c>
      <c r="Y36" s="9">
        <v>227</v>
      </c>
      <c r="Z36" s="9">
        <v>33</v>
      </c>
      <c r="AA36" s="9">
        <v>-41</v>
      </c>
      <c r="AB36" s="9">
        <v>35</v>
      </c>
      <c r="AC36" s="9">
        <v>173</v>
      </c>
      <c r="AD36" s="9">
        <v>-8</v>
      </c>
      <c r="AE36" s="9">
        <v>-4</v>
      </c>
      <c r="AF36" s="9">
        <v>41</v>
      </c>
      <c r="AG36" s="9">
        <v>-92</v>
      </c>
      <c r="AH36" s="9">
        <v>44</v>
      </c>
      <c r="AI36" s="9">
        <v>6</v>
      </c>
      <c r="AJ36" s="9">
        <v>34</v>
      </c>
      <c r="AK36" s="9">
        <v>154</v>
      </c>
    </row>
    <row r="37" spans="1:37" ht="12.75">
      <c r="A37" s="240" t="s">
        <v>36</v>
      </c>
      <c r="B37" s="240" t="s">
        <v>39</v>
      </c>
      <c r="C37" s="240" t="s">
        <v>530</v>
      </c>
      <c r="E37" s="122" t="s">
        <v>601</v>
      </c>
      <c r="F37" s="10">
        <v>3.7</v>
      </c>
      <c r="G37" s="10">
        <v>4.1</v>
      </c>
      <c r="H37" s="10">
        <v>11.7</v>
      </c>
      <c r="I37" s="10">
        <v>15.5</v>
      </c>
      <c r="J37" s="10">
        <v>10.9</v>
      </c>
      <c r="K37" s="10">
        <v>6.2</v>
      </c>
      <c r="L37" s="10">
        <v>9.4</v>
      </c>
      <c r="M37" s="10">
        <v>11.2</v>
      </c>
      <c r="N37" s="10">
        <v>5.9067357512953365</v>
      </c>
      <c r="O37" s="10" t="e">
        <f>+#REF!</f>
        <v>#REF!</v>
      </c>
      <c r="P37" s="10" t="e">
        <f>+#REF!</f>
        <v>#REF!</v>
      </c>
      <c r="Q37" s="10" t="e">
        <f>+#REF!</f>
        <v>#REF!</v>
      </c>
      <c r="R37" s="10">
        <v>4.418052256532066</v>
      </c>
      <c r="S37" s="10">
        <v>1.187648456057007</v>
      </c>
      <c r="T37" s="10">
        <v>5.871212121212121</v>
      </c>
      <c r="U37" s="10">
        <v>8.144291558200074</v>
      </c>
      <c r="V37" s="10">
        <v>0.8415841584158417</v>
      </c>
      <c r="W37" s="10">
        <v>2.376425855513308</v>
      </c>
      <c r="X37" s="10">
        <v>4.551853589863914</v>
      </c>
      <c r="Y37" s="10">
        <v>8.416759362254357</v>
      </c>
      <c r="Z37" s="10">
        <v>1.6</v>
      </c>
      <c r="AA37" s="10">
        <v>-2.1155830753353975</v>
      </c>
      <c r="AB37" s="10">
        <v>1.6867469879518073</v>
      </c>
      <c r="AC37" s="10">
        <v>6.4939939939939935</v>
      </c>
      <c r="AD37" s="10">
        <v>-0.3740065451145395</v>
      </c>
      <c r="AE37" s="10">
        <v>-0.18198362147406735</v>
      </c>
      <c r="AF37" s="10">
        <v>1.8902720147533425</v>
      </c>
      <c r="AG37" s="10">
        <v>-3.7520391517128875</v>
      </c>
      <c r="AH37" s="10">
        <v>2.2833419823559935</v>
      </c>
      <c r="AI37" s="10">
        <v>0.32292787944025836</v>
      </c>
      <c r="AJ37" s="10">
        <v>1.7346938775510203</v>
      </c>
      <c r="AK37" s="10">
        <v>6.316652994257588</v>
      </c>
    </row>
    <row r="38" spans="1:37" ht="12.75">
      <c r="A38" s="240" t="s">
        <v>38</v>
      </c>
      <c r="B38" s="240"/>
      <c r="C38" s="240"/>
      <c r="E38" s="4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row>
    <row r="39" spans="1:37" ht="12.75">
      <c r="A39" s="240" t="s">
        <v>35</v>
      </c>
      <c r="B39" s="240"/>
      <c r="C39" s="240"/>
      <c r="E39" s="119" t="s">
        <v>131</v>
      </c>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row>
    <row r="40" spans="1:37" ht="12.75">
      <c r="A40" s="240" t="s">
        <v>36</v>
      </c>
      <c r="B40" s="240"/>
      <c r="C40" s="240"/>
      <c r="E40" s="122" t="s">
        <v>10</v>
      </c>
      <c r="F40" s="9">
        <v>1727</v>
      </c>
      <c r="G40" s="9">
        <v>1850</v>
      </c>
      <c r="H40" s="9">
        <v>1629</v>
      </c>
      <c r="I40" s="9" t="e">
        <f>+#REF!</f>
        <v>#REF!</v>
      </c>
      <c r="J40" s="9">
        <v>1501</v>
      </c>
      <c r="K40" s="9">
        <v>1730</v>
      </c>
      <c r="L40" s="9">
        <v>1501</v>
      </c>
      <c r="M40" s="9" t="e">
        <f>+#REF!</f>
        <v>#REF!</v>
      </c>
      <c r="N40" s="9">
        <v>1378</v>
      </c>
      <c r="O40" s="9" t="e">
        <f>+#REF!</f>
        <v>#REF!</v>
      </c>
      <c r="P40" s="9" t="e">
        <f>+#REF!</f>
        <v>#REF!</v>
      </c>
      <c r="Q40" s="9" t="e">
        <f>+#REF!</f>
        <v>#REF!</v>
      </c>
      <c r="R40" s="9">
        <v>1408</v>
      </c>
      <c r="S40" s="9">
        <v>1462</v>
      </c>
      <c r="T40" s="9">
        <v>1299</v>
      </c>
      <c r="U40" s="9">
        <v>1402</v>
      </c>
      <c r="V40" s="9">
        <v>1201</v>
      </c>
      <c r="W40" s="9">
        <v>1383</v>
      </c>
      <c r="X40" s="9">
        <v>1422</v>
      </c>
      <c r="Y40" s="9">
        <v>1544</v>
      </c>
      <c r="Z40" s="9">
        <v>1380</v>
      </c>
      <c r="AA40" s="9">
        <v>1536</v>
      </c>
      <c r="AB40" s="9">
        <v>1484</v>
      </c>
      <c r="AC40" s="9">
        <v>1641</v>
      </c>
      <c r="AD40" s="9">
        <v>1525</v>
      </c>
      <c r="AE40" s="9">
        <v>1689</v>
      </c>
      <c r="AF40" s="9">
        <v>1574</v>
      </c>
      <c r="AG40" s="9">
        <v>1758</v>
      </c>
      <c r="AH40" s="9">
        <v>1584</v>
      </c>
      <c r="AI40" s="9">
        <v>1712</v>
      </c>
      <c r="AJ40" s="9">
        <v>1641</v>
      </c>
      <c r="AK40" s="9">
        <v>1928</v>
      </c>
    </row>
    <row r="41" spans="1:37" ht="12.75">
      <c r="A41" s="240" t="s">
        <v>36</v>
      </c>
      <c r="B41" s="240"/>
      <c r="C41" s="240" t="s">
        <v>530</v>
      </c>
      <c r="E41" s="49" t="s">
        <v>542</v>
      </c>
      <c r="F41" s="10"/>
      <c r="G41" s="10"/>
      <c r="H41" s="10"/>
      <c r="I41" s="10"/>
      <c r="J41" s="10"/>
      <c r="K41" s="10"/>
      <c r="L41" s="10"/>
      <c r="M41" s="10"/>
      <c r="N41" s="10">
        <v>-0.8</v>
      </c>
      <c r="O41" s="10" t="e">
        <f>+#REF!</f>
        <v>#REF!</v>
      </c>
      <c r="P41" s="10" t="e">
        <f>+#REF!</f>
        <v>#REF!</v>
      </c>
      <c r="Q41" s="10" t="e">
        <f>+#REF!</f>
        <v>#REF!</v>
      </c>
      <c r="R41" s="10">
        <v>1.4</v>
      </c>
      <c r="S41" s="10">
        <v>-2.8</v>
      </c>
      <c r="T41" s="10">
        <v>-4.8</v>
      </c>
      <c r="U41" s="10">
        <v>-8.9</v>
      </c>
      <c r="V41" s="10">
        <v>-11.2</v>
      </c>
      <c r="W41" s="10">
        <v>-1.7</v>
      </c>
      <c r="X41" s="10">
        <v>9.7</v>
      </c>
      <c r="Y41" s="10">
        <v>10.6</v>
      </c>
      <c r="Z41" s="10">
        <v>13.3</v>
      </c>
      <c r="AA41" s="10">
        <v>8</v>
      </c>
      <c r="AB41" s="10">
        <v>0.7</v>
      </c>
      <c r="AC41" s="10">
        <v>1.9</v>
      </c>
      <c r="AD41" s="10">
        <v>3</v>
      </c>
      <c r="AE41" s="10">
        <v>5.1</v>
      </c>
      <c r="AF41" s="10">
        <v>-0.4</v>
      </c>
      <c r="AG41" s="10">
        <v>3.4</v>
      </c>
      <c r="AH41" s="10">
        <v>4.300000000000001</v>
      </c>
      <c r="AI41" s="10">
        <v>1.1</v>
      </c>
      <c r="AJ41" s="10">
        <v>4</v>
      </c>
      <c r="AK41" s="10">
        <v>7.2</v>
      </c>
    </row>
    <row r="42" spans="1:37" ht="12.75">
      <c r="A42" s="240" t="s">
        <v>36</v>
      </c>
      <c r="B42" s="240"/>
      <c r="C42" s="240" t="s">
        <v>530</v>
      </c>
      <c r="E42" s="49" t="s">
        <v>546</v>
      </c>
      <c r="F42" s="10"/>
      <c r="G42" s="10"/>
      <c r="H42" s="10"/>
      <c r="I42" s="10"/>
      <c r="J42" s="10"/>
      <c r="K42" s="10"/>
      <c r="L42" s="10"/>
      <c r="M42" s="10"/>
      <c r="N42" s="10"/>
      <c r="O42" s="10"/>
      <c r="P42" s="10"/>
      <c r="Q42" s="10"/>
      <c r="R42" s="10"/>
      <c r="S42" s="10"/>
      <c r="T42" s="10"/>
      <c r="U42" s="10"/>
      <c r="V42" s="10"/>
      <c r="W42" s="10"/>
      <c r="X42" s="10"/>
      <c r="Y42" s="10"/>
      <c r="Z42" s="10">
        <v>0</v>
      </c>
      <c r="AA42" s="10">
        <v>0</v>
      </c>
      <c r="AB42" s="10">
        <v>0</v>
      </c>
      <c r="AC42" s="10">
        <v>0</v>
      </c>
      <c r="AD42" s="10">
        <v>0</v>
      </c>
      <c r="AE42" s="10">
        <v>0</v>
      </c>
      <c r="AF42" s="10">
        <v>2.2</v>
      </c>
      <c r="AG42" s="10">
        <v>2.7</v>
      </c>
      <c r="AH42" s="10">
        <v>1.4</v>
      </c>
      <c r="AI42" s="10">
        <v>1.4</v>
      </c>
      <c r="AJ42" s="10">
        <v>0</v>
      </c>
      <c r="AK42" s="10">
        <v>0.1</v>
      </c>
    </row>
    <row r="43" spans="1:37" ht="12.75">
      <c r="A43" s="240" t="s">
        <v>36</v>
      </c>
      <c r="B43" s="240"/>
      <c r="C43" s="240"/>
      <c r="E43" s="49" t="s">
        <v>17</v>
      </c>
      <c r="F43" s="9">
        <v>105</v>
      </c>
      <c r="G43" s="9">
        <v>165</v>
      </c>
      <c r="H43" s="9">
        <v>173</v>
      </c>
      <c r="I43" s="9" t="e">
        <f>+#REF!</f>
        <v>#REF!</v>
      </c>
      <c r="J43" s="9">
        <v>91</v>
      </c>
      <c r="K43" s="9">
        <v>207</v>
      </c>
      <c r="L43" s="9">
        <v>202</v>
      </c>
      <c r="M43" s="9" t="e">
        <f>+#REF!</f>
        <v>#REF!</v>
      </c>
      <c r="N43" s="9">
        <v>177</v>
      </c>
      <c r="O43" s="9" t="e">
        <f>+#REF!</f>
        <v>#REF!</v>
      </c>
      <c r="P43" s="9" t="e">
        <f>+#REF!</f>
        <v>#REF!</v>
      </c>
      <c r="Q43" s="9" t="e">
        <f>+#REF!</f>
        <v>#REF!</v>
      </c>
      <c r="R43" s="9">
        <v>130</v>
      </c>
      <c r="S43" s="9">
        <v>154</v>
      </c>
      <c r="T43" s="9">
        <v>149</v>
      </c>
      <c r="U43" s="9">
        <v>155</v>
      </c>
      <c r="V43" s="9">
        <v>59</v>
      </c>
      <c r="W43" s="9">
        <v>112</v>
      </c>
      <c r="X43" s="9">
        <v>167</v>
      </c>
      <c r="Y43" s="9">
        <v>172</v>
      </c>
      <c r="Z43" s="9">
        <v>126</v>
      </c>
      <c r="AA43" s="9">
        <v>172</v>
      </c>
      <c r="AB43" s="9">
        <v>184</v>
      </c>
      <c r="AC43" s="9">
        <v>189</v>
      </c>
      <c r="AD43" s="9">
        <v>170</v>
      </c>
      <c r="AE43" s="9">
        <v>220</v>
      </c>
      <c r="AF43" s="9">
        <v>212</v>
      </c>
      <c r="AG43" s="9">
        <v>260</v>
      </c>
      <c r="AH43" s="9">
        <v>205</v>
      </c>
      <c r="AI43" s="9">
        <v>222</v>
      </c>
      <c r="AJ43" s="9">
        <v>234</v>
      </c>
      <c r="AK43" s="9">
        <v>293</v>
      </c>
    </row>
    <row r="44" spans="1:37" ht="12.75">
      <c r="A44" s="240" t="s">
        <v>36</v>
      </c>
      <c r="B44" s="240" t="s">
        <v>39</v>
      </c>
      <c r="C44" s="240" t="s">
        <v>530</v>
      </c>
      <c r="E44" s="49" t="s">
        <v>602</v>
      </c>
      <c r="F44" s="10">
        <v>6.079907353792704</v>
      </c>
      <c r="G44" s="10">
        <v>8.91891891891892</v>
      </c>
      <c r="H44" s="10">
        <v>10.620012277470842</v>
      </c>
      <c r="I44" s="10" t="e">
        <f>+#REF!</f>
        <v>#REF!</v>
      </c>
      <c r="J44" s="10">
        <v>6.062624916722186</v>
      </c>
      <c r="K44" s="10">
        <v>11.965317919075144</v>
      </c>
      <c r="L44" s="10">
        <v>13.457694870086609</v>
      </c>
      <c r="M44" s="10" t="e">
        <f>+#REF!</f>
        <v>#REF!</v>
      </c>
      <c r="N44" s="10">
        <v>12.844702467343977</v>
      </c>
      <c r="O44" s="10" t="e">
        <f>+#REF!</f>
        <v>#REF!</v>
      </c>
      <c r="P44" s="10" t="e">
        <f>+#REF!</f>
        <v>#REF!</v>
      </c>
      <c r="Q44" s="10" t="e">
        <f>+#REF!</f>
        <v>#REF!</v>
      </c>
      <c r="R44" s="10">
        <v>9.232954545454545</v>
      </c>
      <c r="S44" s="10">
        <v>10.533515731874145</v>
      </c>
      <c r="T44" s="10">
        <v>11.470361816782141</v>
      </c>
      <c r="U44" s="10">
        <v>11.055634807417974</v>
      </c>
      <c r="V44" s="10">
        <v>4.912572855953372</v>
      </c>
      <c r="W44" s="10">
        <v>8.098336948662329</v>
      </c>
      <c r="X44" s="10">
        <v>11.744022503516174</v>
      </c>
      <c r="Y44" s="10">
        <v>11.139896373056994</v>
      </c>
      <c r="Z44" s="10">
        <v>9.1</v>
      </c>
      <c r="AA44" s="10">
        <v>11.197916666666668</v>
      </c>
      <c r="AB44" s="10">
        <v>12.398921832884097</v>
      </c>
      <c r="AC44" s="10">
        <v>11.517367458866545</v>
      </c>
      <c r="AD44" s="10">
        <v>11.147540983606557</v>
      </c>
      <c r="AE44" s="10">
        <v>13.025458851391356</v>
      </c>
      <c r="AF44" s="10">
        <v>13.468869123252858</v>
      </c>
      <c r="AG44" s="10">
        <v>14.789533560864617</v>
      </c>
      <c r="AH44" s="10">
        <v>12.94191919191919</v>
      </c>
      <c r="AI44" s="10">
        <v>12.967289719626168</v>
      </c>
      <c r="AJ44" s="10">
        <v>14.259597806215721</v>
      </c>
      <c r="AK44" s="10">
        <v>15.197095435684647</v>
      </c>
    </row>
    <row r="45" spans="1:37" ht="12.75">
      <c r="A45" s="240" t="s">
        <v>38</v>
      </c>
      <c r="B45" s="240"/>
      <c r="C45" s="240"/>
      <c r="E45" s="4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row>
    <row r="46" spans="1:37" ht="12.75">
      <c r="A46" s="240" t="s">
        <v>35</v>
      </c>
      <c r="B46" s="240"/>
      <c r="C46" s="240"/>
      <c r="E46" s="119" t="s">
        <v>132</v>
      </c>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row>
    <row r="47" spans="1:37" ht="12.75">
      <c r="A47" s="240" t="s">
        <v>36</v>
      </c>
      <c r="B47" s="240"/>
      <c r="C47" s="240"/>
      <c r="E47" s="122" t="s">
        <v>10</v>
      </c>
      <c r="F47" s="9">
        <v>2</v>
      </c>
      <c r="G47" s="9">
        <v>2</v>
      </c>
      <c r="H47" s="9">
        <v>2</v>
      </c>
      <c r="I47" s="9">
        <v>0</v>
      </c>
      <c r="J47" s="9">
        <v>8</v>
      </c>
      <c r="K47" s="9">
        <v>2</v>
      </c>
      <c r="L47" s="9">
        <v>1</v>
      </c>
      <c r="M47" s="9">
        <v>0</v>
      </c>
      <c r="N47" s="9">
        <v>0</v>
      </c>
      <c r="O47" s="13">
        <v>1</v>
      </c>
      <c r="P47" s="13">
        <v>0</v>
      </c>
      <c r="Q47" s="13">
        <v>0</v>
      </c>
      <c r="R47" s="13">
        <v>0</v>
      </c>
      <c r="S47" s="13">
        <v>0</v>
      </c>
      <c r="T47" s="13">
        <v>0</v>
      </c>
      <c r="U47" s="13">
        <v>1</v>
      </c>
      <c r="V47" s="13">
        <v>1</v>
      </c>
      <c r="W47" s="13">
        <v>0</v>
      </c>
      <c r="X47" s="13">
        <v>0</v>
      </c>
      <c r="Y47" s="13">
        <v>0</v>
      </c>
      <c r="Z47" s="13">
        <v>1</v>
      </c>
      <c r="AA47" s="13">
        <v>0</v>
      </c>
      <c r="AB47" s="13">
        <v>0</v>
      </c>
      <c r="AC47" s="13">
        <v>0</v>
      </c>
      <c r="AD47" s="13">
        <v>0</v>
      </c>
      <c r="AE47" s="13">
        <v>0</v>
      </c>
      <c r="AF47" s="13">
        <v>0</v>
      </c>
      <c r="AG47" s="13">
        <v>0</v>
      </c>
      <c r="AH47" s="13">
        <v>0</v>
      </c>
      <c r="AI47" s="13">
        <v>0</v>
      </c>
      <c r="AJ47" s="13">
        <v>0</v>
      </c>
      <c r="AK47" s="13">
        <v>0</v>
      </c>
    </row>
    <row r="48" spans="1:37" ht="12.75">
      <c r="A48" s="240" t="s">
        <v>36</v>
      </c>
      <c r="B48" s="240"/>
      <c r="C48" s="240"/>
      <c r="E48" s="49" t="s">
        <v>17</v>
      </c>
      <c r="F48" s="9">
        <v>-125</v>
      </c>
      <c r="G48" s="9">
        <v>-139</v>
      </c>
      <c r="H48" s="9">
        <v>-140</v>
      </c>
      <c r="I48" s="9">
        <v>-103</v>
      </c>
      <c r="J48" s="9">
        <v>-125</v>
      </c>
      <c r="K48" s="9">
        <v>-160</v>
      </c>
      <c r="L48" s="9">
        <v>-174</v>
      </c>
      <c r="M48" s="9">
        <v>-75</v>
      </c>
      <c r="N48" s="9">
        <v>-148</v>
      </c>
      <c r="O48" s="13">
        <v>-137</v>
      </c>
      <c r="P48" s="13">
        <v>-215</v>
      </c>
      <c r="Q48" s="13">
        <v>-244</v>
      </c>
      <c r="R48" s="9">
        <v>-151</v>
      </c>
      <c r="S48" s="9">
        <v>-248</v>
      </c>
      <c r="T48" s="9">
        <v>-187</v>
      </c>
      <c r="U48" s="9">
        <v>-324</v>
      </c>
      <c r="V48" s="9">
        <v>-181</v>
      </c>
      <c r="W48" s="9">
        <v>-195</v>
      </c>
      <c r="X48" s="9">
        <v>-223</v>
      </c>
      <c r="Y48" s="9">
        <v>-176</v>
      </c>
      <c r="Z48" s="9">
        <v>-174</v>
      </c>
      <c r="AA48" s="9">
        <v>-87</v>
      </c>
      <c r="AB48" s="9">
        <v>-196</v>
      </c>
      <c r="AC48" s="9">
        <v>-286</v>
      </c>
      <c r="AD48" s="9">
        <v>-189</v>
      </c>
      <c r="AE48" s="9">
        <v>-364</v>
      </c>
      <c r="AF48" s="9">
        <v>-259</v>
      </c>
      <c r="AG48" s="9">
        <v>-1820</v>
      </c>
      <c r="AH48" s="9">
        <v>-155</v>
      </c>
      <c r="AI48" s="9">
        <v>-192</v>
      </c>
      <c r="AJ48" s="9">
        <v>-173</v>
      </c>
      <c r="AK48" s="9">
        <v>-173</v>
      </c>
    </row>
    <row r="49" spans="1:37" ht="12.75">
      <c r="A49" s="240" t="s">
        <v>38</v>
      </c>
      <c r="B49" s="240"/>
      <c r="C49" s="240"/>
      <c r="E49" s="53"/>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1:37" ht="12.75">
      <c r="A50" s="240" t="s">
        <v>35</v>
      </c>
      <c r="B50" s="240"/>
      <c r="C50" s="240"/>
      <c r="E50" s="159" t="s">
        <v>449</v>
      </c>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row>
    <row r="51" spans="1:37" ht="12.75">
      <c r="A51" s="240" t="s">
        <v>36</v>
      </c>
      <c r="B51" s="240"/>
      <c r="C51" s="240"/>
      <c r="E51" s="122" t="s">
        <v>10</v>
      </c>
      <c r="F51" s="9">
        <f aca="true" t="shared" si="0" ref="F51:M51">+F9+F15+F21+F27+F34+F40+F47</f>
        <v>25818</v>
      </c>
      <c r="G51" s="9">
        <f t="shared" si="0"/>
        <v>27482</v>
      </c>
      <c r="H51" s="9">
        <f t="shared" si="0"/>
        <v>27617</v>
      </c>
      <c r="I51" s="9" t="e">
        <f t="shared" si="0"/>
        <v>#REF!</v>
      </c>
      <c r="J51" s="9">
        <f t="shared" si="0"/>
        <v>25133</v>
      </c>
      <c r="K51" s="9">
        <f t="shared" si="0"/>
        <v>27311</v>
      </c>
      <c r="L51" s="9">
        <f t="shared" si="0"/>
        <v>26326</v>
      </c>
      <c r="M51" s="9" t="e">
        <f t="shared" si="0"/>
        <v>#REF!</v>
      </c>
      <c r="N51" s="9">
        <v>23436</v>
      </c>
      <c r="O51" s="9" t="e">
        <f>+O9+O15+O21+O27+O34+O40+O47</f>
        <v>#REF!</v>
      </c>
      <c r="P51" s="9" t="e">
        <f>+P9+P15+P21+P27+P34+P40+P47</f>
        <v>#REF!</v>
      </c>
      <c r="Q51" s="9" t="e">
        <f>+Q9+Q15+Q21+Q27+Q34+Q40+Q47</f>
        <v>#REF!</v>
      </c>
      <c r="R51" s="9">
        <v>25875</v>
      </c>
      <c r="S51" s="9">
        <v>27763</v>
      </c>
      <c r="T51" s="9">
        <v>27171</v>
      </c>
      <c r="U51" s="9">
        <v>29185</v>
      </c>
      <c r="V51" s="9">
        <v>25328</v>
      </c>
      <c r="W51" s="9">
        <v>27674</v>
      </c>
      <c r="X51" s="9">
        <v>27258</v>
      </c>
      <c r="Y51" s="9">
        <v>28891</v>
      </c>
      <c r="Z51" s="9"/>
      <c r="AA51" s="9"/>
      <c r="AB51" s="9"/>
      <c r="AC51" s="9"/>
      <c r="AD51" s="9"/>
      <c r="AE51" s="9"/>
      <c r="AF51" s="9"/>
      <c r="AG51" s="9"/>
      <c r="AH51" s="9"/>
      <c r="AI51" s="9"/>
      <c r="AJ51" s="9"/>
      <c r="AK51" s="9"/>
    </row>
    <row r="52" spans="1:37" ht="12.75">
      <c r="A52" s="240" t="s">
        <v>36</v>
      </c>
      <c r="B52" s="240"/>
      <c r="C52" s="240" t="s">
        <v>530</v>
      </c>
      <c r="E52" s="49" t="s">
        <v>332</v>
      </c>
      <c r="F52" s="10">
        <v>-8.4</v>
      </c>
      <c r="G52" s="10">
        <v>-8.4</v>
      </c>
      <c r="H52" s="10">
        <v>-3</v>
      </c>
      <c r="I52" s="10">
        <v>-0.6</v>
      </c>
      <c r="J52" s="10">
        <v>4.1</v>
      </c>
      <c r="K52" s="10">
        <v>2.8</v>
      </c>
      <c r="L52" s="10">
        <v>-2.3</v>
      </c>
      <c r="M52" s="10">
        <v>1.6</v>
      </c>
      <c r="N52" s="10">
        <v>0.9</v>
      </c>
      <c r="O52" s="15">
        <v>-1.6</v>
      </c>
      <c r="P52" s="15">
        <v>2.2</v>
      </c>
      <c r="Q52" s="15">
        <v>5.7</v>
      </c>
      <c r="R52" s="15">
        <v>9.3</v>
      </c>
      <c r="S52" s="15">
        <v>11.4</v>
      </c>
      <c r="T52" s="15">
        <v>9.7</v>
      </c>
      <c r="U52" s="10">
        <v>7.5</v>
      </c>
      <c r="V52" s="10">
        <v>3.8</v>
      </c>
      <c r="W52" s="10">
        <v>5.9</v>
      </c>
      <c r="X52" s="10">
        <v>4.9</v>
      </c>
      <c r="Y52" s="10">
        <v>3.6</v>
      </c>
      <c r="Z52" s="10"/>
      <c r="AA52" s="10"/>
      <c r="AB52" s="10"/>
      <c r="AC52" s="10"/>
      <c r="AD52" s="10"/>
      <c r="AE52" s="10"/>
      <c r="AF52" s="10"/>
      <c r="AG52" s="10"/>
      <c r="AH52" s="10"/>
      <c r="AI52" s="10"/>
      <c r="AJ52" s="10"/>
      <c r="AK52" s="10"/>
    </row>
    <row r="53" spans="1:37" ht="12.75">
      <c r="A53" s="240" t="s">
        <v>36</v>
      </c>
      <c r="B53" s="240"/>
      <c r="C53" s="240"/>
      <c r="E53" s="49" t="s">
        <v>17</v>
      </c>
      <c r="F53" s="9">
        <f aca="true" t="shared" si="1" ref="F53:M53">+F11+F17+F23+F30+F36+F43+F48</f>
        <v>38</v>
      </c>
      <c r="G53" s="9">
        <f t="shared" si="1"/>
        <v>1027</v>
      </c>
      <c r="H53" s="9">
        <f t="shared" si="1"/>
        <v>2234</v>
      </c>
      <c r="I53" s="9" t="e">
        <f t="shared" si="1"/>
        <v>#REF!</v>
      </c>
      <c r="J53" s="9">
        <f t="shared" si="1"/>
        <v>1326</v>
      </c>
      <c r="K53" s="9">
        <f t="shared" si="1"/>
        <v>1477</v>
      </c>
      <c r="L53" s="9">
        <f t="shared" si="1"/>
        <v>1977</v>
      </c>
      <c r="M53" s="9" t="e">
        <f t="shared" si="1"/>
        <v>#REF!</v>
      </c>
      <c r="N53" s="9">
        <v>696</v>
      </c>
      <c r="O53" s="9" t="e">
        <f aca="true" t="shared" si="2" ref="O53:U53">+O11+O17+O23+O30+O36+O43+O48</f>
        <v>#REF!</v>
      </c>
      <c r="P53" s="9" t="e">
        <f t="shared" si="2"/>
        <v>#REF!</v>
      </c>
      <c r="Q53" s="9" t="e">
        <f t="shared" si="2"/>
        <v>#REF!</v>
      </c>
      <c r="R53" s="43">
        <f t="shared" si="2"/>
        <v>907</v>
      </c>
      <c r="S53" s="43">
        <f t="shared" si="2"/>
        <v>1112</v>
      </c>
      <c r="T53" s="43">
        <f t="shared" si="2"/>
        <v>1423</v>
      </c>
      <c r="U53" s="43">
        <f t="shared" si="2"/>
        <v>1590</v>
      </c>
      <c r="V53" s="43">
        <v>720</v>
      </c>
      <c r="W53" s="43">
        <v>1037</v>
      </c>
      <c r="X53" s="43">
        <v>1075</v>
      </c>
      <c r="Y53" s="43">
        <v>1223</v>
      </c>
      <c r="Z53" s="43"/>
      <c r="AA53" s="43"/>
      <c r="AB53" s="43"/>
      <c r="AC53" s="43"/>
      <c r="AD53" s="43"/>
      <c r="AE53" s="43"/>
      <c r="AF53" s="43"/>
      <c r="AG53" s="43"/>
      <c r="AH53" s="43"/>
      <c r="AI53" s="43"/>
      <c r="AJ53" s="43"/>
      <c r="AK53" s="43"/>
    </row>
    <row r="54" spans="1:37" ht="12.75">
      <c r="A54" s="240" t="s">
        <v>36</v>
      </c>
      <c r="B54" s="240"/>
      <c r="C54" s="240" t="s">
        <v>530</v>
      </c>
      <c r="E54" s="49" t="s">
        <v>531</v>
      </c>
      <c r="F54" s="10">
        <f aca="true" t="shared" si="3" ref="F54:M54">+F53/F51*100</f>
        <v>0.14718413509954295</v>
      </c>
      <c r="G54" s="10">
        <f t="shared" si="3"/>
        <v>3.736991485335856</v>
      </c>
      <c r="H54" s="10">
        <f t="shared" si="3"/>
        <v>8.089220407719882</v>
      </c>
      <c r="I54" s="10" t="e">
        <f t="shared" si="3"/>
        <v>#REF!</v>
      </c>
      <c r="J54" s="10">
        <f t="shared" si="3"/>
        <v>5.275932041539012</v>
      </c>
      <c r="K54" s="10">
        <f t="shared" si="3"/>
        <v>5.408077331478159</v>
      </c>
      <c r="L54" s="10">
        <f t="shared" si="3"/>
        <v>7.509686241738206</v>
      </c>
      <c r="M54" s="10" t="e">
        <f t="shared" si="3"/>
        <v>#REF!</v>
      </c>
      <c r="N54" s="10">
        <v>2.9697900665642605</v>
      </c>
      <c r="O54" s="10" t="e">
        <f>+O53/O51*100</f>
        <v>#REF!</v>
      </c>
      <c r="P54" s="10" t="e">
        <f>+P53/P51*100</f>
        <v>#REF!</v>
      </c>
      <c r="Q54" s="10" t="e">
        <f>+Q53/Q51*100</f>
        <v>#REF!</v>
      </c>
      <c r="R54" s="10">
        <v>3.5</v>
      </c>
      <c r="S54" s="10">
        <f>+S53/S51*100</f>
        <v>4.005330836004754</v>
      </c>
      <c r="T54" s="10">
        <f>+T53/T51*100</f>
        <v>5.237201427993081</v>
      </c>
      <c r="U54" s="10">
        <f>+U53/U51*100</f>
        <v>5.448004111701216</v>
      </c>
      <c r="V54" s="10">
        <v>2.8427037271004423</v>
      </c>
      <c r="W54" s="10">
        <v>3.7</v>
      </c>
      <c r="X54" s="10">
        <v>3.9437963166776724</v>
      </c>
      <c r="Y54" s="10">
        <v>4.233152192724378</v>
      </c>
      <c r="Z54" s="10"/>
      <c r="AA54" s="10"/>
      <c r="AB54" s="10"/>
      <c r="AC54" s="10"/>
      <c r="AD54" s="10"/>
      <c r="AE54" s="10"/>
      <c r="AF54" s="10"/>
      <c r="AG54" s="10"/>
      <c r="AH54" s="10"/>
      <c r="AI54" s="10"/>
      <c r="AJ54" s="10"/>
      <c r="AK54" s="10"/>
    </row>
    <row r="55" spans="1:37" ht="12.75">
      <c r="A55" s="240" t="s">
        <v>38</v>
      </c>
      <c r="B55" s="240"/>
      <c r="C55" s="240"/>
      <c r="E55" s="119"/>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2.75">
      <c r="A56" s="240" t="s">
        <v>35</v>
      </c>
      <c r="B56" s="240"/>
      <c r="C56" s="240"/>
      <c r="E56" s="159" t="s">
        <v>452</v>
      </c>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2.75">
      <c r="A57" s="240" t="s">
        <v>36</v>
      </c>
      <c r="B57" s="240"/>
      <c r="C57" s="240"/>
      <c r="E57" s="122" t="s">
        <v>10</v>
      </c>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ht="12.75">
      <c r="A58" s="240" t="s">
        <v>36</v>
      </c>
      <c r="B58" s="240"/>
      <c r="C58" s="240" t="s">
        <v>530</v>
      </c>
      <c r="E58" s="49" t="s">
        <v>332</v>
      </c>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ht="12.75">
      <c r="A59" s="240" t="s">
        <v>36</v>
      </c>
      <c r="B59" s="240"/>
      <c r="C59" s="240"/>
      <c r="E59" s="49" t="s">
        <v>17</v>
      </c>
      <c r="F59" s="9">
        <v>-424</v>
      </c>
      <c r="G59" s="9">
        <v>25</v>
      </c>
      <c r="H59" s="9">
        <v>56</v>
      </c>
      <c r="I59" s="9">
        <v>-1218</v>
      </c>
      <c r="J59" s="9">
        <v>-95</v>
      </c>
      <c r="K59" s="9">
        <v>-207</v>
      </c>
      <c r="L59" s="9">
        <v>0</v>
      </c>
      <c r="M59" s="9">
        <v>-762</v>
      </c>
      <c r="N59" s="9">
        <v>0</v>
      </c>
      <c r="O59" s="13">
        <v>0</v>
      </c>
      <c r="P59" s="13">
        <v>-34</v>
      </c>
      <c r="Q59" s="13">
        <v>-104</v>
      </c>
      <c r="R59" s="13">
        <v>0</v>
      </c>
      <c r="S59" s="13">
        <v>0</v>
      </c>
      <c r="T59" s="13">
        <v>0</v>
      </c>
      <c r="U59" s="13">
        <v>-1032</v>
      </c>
      <c r="V59" s="13">
        <v>-82</v>
      </c>
      <c r="W59" s="13">
        <v>0</v>
      </c>
      <c r="X59" s="13">
        <v>0</v>
      </c>
      <c r="Y59" s="13">
        <v>-2393</v>
      </c>
      <c r="Z59" s="13"/>
      <c r="AA59" s="13"/>
      <c r="AB59" s="13"/>
      <c r="AC59" s="13"/>
      <c r="AD59" s="13"/>
      <c r="AE59" s="13"/>
      <c r="AF59" s="13"/>
      <c r="AG59" s="13"/>
      <c r="AH59" s="13"/>
      <c r="AI59" s="13"/>
      <c r="AJ59" s="13"/>
      <c r="AK59" s="13"/>
    </row>
    <row r="60" spans="1:29" ht="12.75">
      <c r="A60" s="240" t="s">
        <v>36</v>
      </c>
      <c r="B60" s="240"/>
      <c r="C60" s="240" t="s">
        <v>530</v>
      </c>
      <c r="E60" s="49" t="s">
        <v>531</v>
      </c>
      <c r="F60" s="10"/>
      <c r="G60" s="10"/>
      <c r="H60" s="10"/>
      <c r="I60" s="10"/>
      <c r="J60" s="10"/>
      <c r="K60" s="10"/>
      <c r="L60" s="10"/>
      <c r="M60" s="10"/>
      <c r="N60" s="10"/>
      <c r="O60" s="10"/>
      <c r="P60" s="10"/>
      <c r="Q60" s="10"/>
      <c r="R60" s="10"/>
      <c r="S60" s="10"/>
      <c r="T60" s="10"/>
      <c r="U60" s="10"/>
      <c r="V60" s="10"/>
      <c r="W60" s="10"/>
      <c r="X60" s="10"/>
      <c r="Y60" s="10"/>
      <c r="Z60" s="10"/>
      <c r="AA60" s="10"/>
      <c r="AB60" s="10"/>
      <c r="AC60" s="10"/>
    </row>
    <row r="61" spans="1:29" ht="12.75">
      <c r="A61" s="240" t="s">
        <v>38</v>
      </c>
      <c r="B61" s="240"/>
      <c r="C61" s="240"/>
      <c r="E61" s="53"/>
      <c r="F61" s="9"/>
      <c r="G61" s="9"/>
      <c r="H61" s="9"/>
      <c r="I61" s="9"/>
      <c r="J61" s="9"/>
      <c r="K61" s="9"/>
      <c r="L61" s="9"/>
      <c r="M61" s="9"/>
      <c r="N61" s="9"/>
      <c r="O61" s="9"/>
      <c r="P61" s="9"/>
      <c r="Q61" s="9"/>
      <c r="R61" s="9"/>
      <c r="S61" s="9"/>
      <c r="T61" s="9"/>
      <c r="U61" s="9"/>
      <c r="V61" s="9"/>
      <c r="W61" s="9"/>
      <c r="X61" s="9"/>
      <c r="Y61" s="9"/>
      <c r="Z61" s="9"/>
      <c r="AA61" s="9"/>
      <c r="AB61" s="9"/>
      <c r="AC61" s="9"/>
    </row>
    <row r="62" spans="1:29" ht="12.75">
      <c r="A62" s="240" t="s">
        <v>35</v>
      </c>
      <c r="B62" s="240"/>
      <c r="C62" s="240"/>
      <c r="E62" s="159" t="s">
        <v>453</v>
      </c>
      <c r="F62" s="1"/>
      <c r="G62" s="1"/>
      <c r="H62" s="1"/>
      <c r="I62" s="1"/>
      <c r="J62" s="1"/>
      <c r="K62" s="1"/>
      <c r="L62" s="1"/>
      <c r="M62" s="1"/>
      <c r="N62" s="1"/>
      <c r="O62" s="1"/>
      <c r="P62" s="1"/>
      <c r="Q62" s="1"/>
      <c r="R62" s="1"/>
      <c r="S62" s="1"/>
      <c r="T62" s="1"/>
      <c r="U62" s="1"/>
      <c r="V62" s="1"/>
      <c r="W62" s="1"/>
      <c r="X62" s="1"/>
      <c r="Y62" s="1"/>
      <c r="Z62" s="1"/>
      <c r="AA62" s="1"/>
      <c r="AB62" s="1"/>
      <c r="AC62" s="1"/>
    </row>
    <row r="63" spans="1:37" ht="12.75">
      <c r="A63" s="240" t="s">
        <v>36</v>
      </c>
      <c r="B63" s="240"/>
      <c r="C63" s="240"/>
      <c r="E63" s="122" t="s">
        <v>10</v>
      </c>
      <c r="F63" s="9">
        <v>25818</v>
      </c>
      <c r="G63" s="9">
        <f>+G51+G57</f>
        <v>27482</v>
      </c>
      <c r="H63" s="9">
        <v>27617</v>
      </c>
      <c r="I63" s="9" t="e">
        <f>+I51+I57</f>
        <v>#REF!</v>
      </c>
      <c r="J63" s="9">
        <v>25133</v>
      </c>
      <c r="K63" s="9">
        <v>27311</v>
      </c>
      <c r="L63" s="9">
        <v>26326</v>
      </c>
      <c r="M63" s="9" t="e">
        <f>+M51+M57</f>
        <v>#REF!</v>
      </c>
      <c r="N63" s="9">
        <v>23436</v>
      </c>
      <c r="O63" s="9" t="e">
        <f>+O51+O57</f>
        <v>#REF!</v>
      </c>
      <c r="P63" s="9" t="e">
        <f>+P51+P57</f>
        <v>#REF!</v>
      </c>
      <c r="Q63" s="9" t="e">
        <f>+Q51+Q57</f>
        <v>#REF!</v>
      </c>
      <c r="R63" s="9">
        <v>25875</v>
      </c>
      <c r="S63" s="9">
        <v>27763</v>
      </c>
      <c r="T63" s="9">
        <v>27171</v>
      </c>
      <c r="U63" s="9">
        <v>29185</v>
      </c>
      <c r="V63" s="9">
        <v>25328</v>
      </c>
      <c r="W63" s="9">
        <v>27674</v>
      </c>
      <c r="X63" s="9">
        <v>27258</v>
      </c>
      <c r="Y63" s="9">
        <v>28891</v>
      </c>
      <c r="Z63" s="9">
        <v>25629</v>
      </c>
      <c r="AA63" s="9">
        <v>26330</v>
      </c>
      <c r="AB63" s="9">
        <v>28784</v>
      </c>
      <c r="AC63" s="9">
        <v>31400</v>
      </c>
      <c r="AD63" s="43">
        <v>29087</v>
      </c>
      <c r="AE63" s="43">
        <v>31355</v>
      </c>
      <c r="AF63" s="43">
        <v>31275</v>
      </c>
      <c r="AG63" s="43">
        <v>31794</v>
      </c>
      <c r="AH63" s="43">
        <v>28114</v>
      </c>
      <c r="AI63" s="43">
        <v>29983</v>
      </c>
      <c r="AJ63" s="43">
        <v>30852</v>
      </c>
      <c r="AK63" s="43">
        <v>32144</v>
      </c>
    </row>
    <row r="64" spans="1:37" ht="12.75">
      <c r="A64" s="240" t="s">
        <v>36</v>
      </c>
      <c r="B64" s="240"/>
      <c r="C64" s="240" t="s">
        <v>530</v>
      </c>
      <c r="E64" s="49" t="s">
        <v>542</v>
      </c>
      <c r="F64" s="10">
        <v>-8.4</v>
      </c>
      <c r="G64" s="10">
        <v>-8.4</v>
      </c>
      <c r="H64" s="10">
        <v>-3</v>
      </c>
      <c r="I64" s="10">
        <v>-0.6</v>
      </c>
      <c r="J64" s="10">
        <v>4.1</v>
      </c>
      <c r="K64" s="10">
        <v>2.8</v>
      </c>
      <c r="L64" s="10">
        <v>-2.3</v>
      </c>
      <c r="M64" s="10">
        <v>1.6</v>
      </c>
      <c r="N64" s="10">
        <v>0.9</v>
      </c>
      <c r="O64" s="15">
        <v>-1.6</v>
      </c>
      <c r="P64" s="15">
        <v>2.2</v>
      </c>
      <c r="Q64" s="15">
        <v>5.7</v>
      </c>
      <c r="R64" s="15">
        <v>9.3</v>
      </c>
      <c r="S64" s="15">
        <v>11.4</v>
      </c>
      <c r="T64" s="15">
        <v>9.7</v>
      </c>
      <c r="U64" s="15">
        <v>7.5</v>
      </c>
      <c r="V64" s="15">
        <v>3.8</v>
      </c>
      <c r="W64" s="15">
        <v>5.9</v>
      </c>
      <c r="X64" s="15">
        <v>4.9</v>
      </c>
      <c r="Y64" s="15">
        <v>3.6</v>
      </c>
      <c r="Z64" s="15">
        <v>4.5</v>
      </c>
      <c r="AA64" s="15">
        <v>-3.8</v>
      </c>
      <c r="AB64" s="15">
        <v>1.6</v>
      </c>
      <c r="AC64" s="15">
        <v>2</v>
      </c>
      <c r="AD64" s="40">
        <v>-0.5</v>
      </c>
      <c r="AE64" s="10">
        <v>7</v>
      </c>
      <c r="AF64" s="10">
        <v>2.1</v>
      </c>
      <c r="AG64" s="10">
        <v>0.2</v>
      </c>
      <c r="AH64" s="10">
        <v>1.8</v>
      </c>
      <c r="AI64" s="10">
        <v>-0.9</v>
      </c>
      <c r="AJ64" s="10">
        <v>-1.6</v>
      </c>
      <c r="AK64" s="10">
        <v>-3</v>
      </c>
    </row>
    <row r="65" spans="1:37" ht="12.75">
      <c r="A65" s="240" t="s">
        <v>36</v>
      </c>
      <c r="B65" s="240"/>
      <c r="C65" s="240" t="s">
        <v>530</v>
      </c>
      <c r="E65" s="49" t="s">
        <v>546</v>
      </c>
      <c r="F65" s="10"/>
      <c r="G65" s="10"/>
      <c r="H65" s="10"/>
      <c r="I65" s="10"/>
      <c r="J65" s="10"/>
      <c r="K65" s="10"/>
      <c r="L65" s="10"/>
      <c r="M65" s="10"/>
      <c r="N65" s="10"/>
      <c r="O65" s="15"/>
      <c r="P65" s="15"/>
      <c r="Q65" s="15"/>
      <c r="R65" s="15"/>
      <c r="S65" s="15"/>
      <c r="T65" s="15"/>
      <c r="U65" s="15"/>
      <c r="V65" s="15"/>
      <c r="W65" s="15"/>
      <c r="X65" s="15"/>
      <c r="Y65" s="15"/>
      <c r="Z65" s="15">
        <v>0</v>
      </c>
      <c r="AA65" s="15">
        <v>0</v>
      </c>
      <c r="AB65" s="15">
        <v>0</v>
      </c>
      <c r="AC65" s="15">
        <v>0.2</v>
      </c>
      <c r="AD65" s="40">
        <v>0.1</v>
      </c>
      <c r="AE65" s="10">
        <v>0.1</v>
      </c>
      <c r="AF65" s="10">
        <v>0.3</v>
      </c>
      <c r="AG65" s="10">
        <v>0.1</v>
      </c>
      <c r="AH65" s="10">
        <v>0.1</v>
      </c>
      <c r="AI65" s="10">
        <v>0.1</v>
      </c>
      <c r="AJ65" s="10">
        <v>0</v>
      </c>
      <c r="AK65" s="10">
        <v>0.2</v>
      </c>
    </row>
    <row r="66" spans="1:37" ht="12.75">
      <c r="A66" s="240" t="s">
        <v>36</v>
      </c>
      <c r="B66" s="240"/>
      <c r="C66" s="240"/>
      <c r="E66" s="49" t="s">
        <v>17</v>
      </c>
      <c r="F66" s="9">
        <v>-386</v>
      </c>
      <c r="G66" s="9">
        <f>+G53+G59</f>
        <v>1052</v>
      </c>
      <c r="H66" s="9">
        <v>2290</v>
      </c>
      <c r="I66" s="9" t="e">
        <f>+I53+I59</f>
        <v>#REF!</v>
      </c>
      <c r="J66" s="9">
        <v>1231</v>
      </c>
      <c r="K66" s="9">
        <v>1270</v>
      </c>
      <c r="L66" s="9">
        <v>1977</v>
      </c>
      <c r="M66" s="9" t="e">
        <f>+M53+M59</f>
        <v>#REF!</v>
      </c>
      <c r="N66" s="9">
        <v>696</v>
      </c>
      <c r="O66" s="9" t="e">
        <f aca="true" t="shared" si="4" ref="O66:U66">+O53+O59</f>
        <v>#REF!</v>
      </c>
      <c r="P66" s="9" t="e">
        <f t="shared" si="4"/>
        <v>#REF!</v>
      </c>
      <c r="Q66" s="9" t="e">
        <f t="shared" si="4"/>
        <v>#REF!</v>
      </c>
      <c r="R66" s="9">
        <f t="shared" si="4"/>
        <v>907</v>
      </c>
      <c r="S66" s="9">
        <f t="shared" si="4"/>
        <v>1112</v>
      </c>
      <c r="T66" s="9">
        <f t="shared" si="4"/>
        <v>1423</v>
      </c>
      <c r="U66" s="9">
        <f t="shared" si="4"/>
        <v>558</v>
      </c>
      <c r="V66" s="9">
        <v>638</v>
      </c>
      <c r="W66" s="9">
        <v>1037</v>
      </c>
      <c r="X66" s="9">
        <v>1075</v>
      </c>
      <c r="Y66" s="9">
        <v>-1170</v>
      </c>
      <c r="Z66" s="9">
        <v>731</v>
      </c>
      <c r="AA66" s="9">
        <v>63</v>
      </c>
      <c r="AB66" s="9">
        <v>1392</v>
      </c>
      <c r="AC66" s="9">
        <v>1395</v>
      </c>
      <c r="AD66" s="40">
        <v>516</v>
      </c>
      <c r="AE66" s="9">
        <v>921</v>
      </c>
      <c r="AF66" s="9">
        <v>1506</v>
      </c>
      <c r="AG66" s="9">
        <v>-202</v>
      </c>
      <c r="AH66" s="9">
        <v>1268</v>
      </c>
      <c r="AI66" s="9">
        <v>1564</v>
      </c>
      <c r="AJ66" s="9">
        <v>1826</v>
      </c>
      <c r="AK66" s="9">
        <v>1616</v>
      </c>
    </row>
    <row r="67" spans="1:37" s="90" customFormat="1" ht="12.75">
      <c r="A67" s="240" t="s">
        <v>27</v>
      </c>
      <c r="B67" s="294" t="s">
        <v>285</v>
      </c>
      <c r="C67" s="243" t="s">
        <v>530</v>
      </c>
      <c r="E67" s="159" t="s">
        <v>603</v>
      </c>
      <c r="F67" s="16">
        <v>-1.4950809512743048</v>
      </c>
      <c r="G67" s="16">
        <f>+G66/G63*100</f>
        <v>3.8279601193508475</v>
      </c>
      <c r="H67" s="16">
        <f aca="true" t="shared" si="5" ref="H67:M67">+H66/H63*100</f>
        <v>8.291994061628708</v>
      </c>
      <c r="I67" s="16" t="e">
        <f t="shared" si="5"/>
        <v>#REF!</v>
      </c>
      <c r="J67" s="16">
        <f t="shared" si="5"/>
        <v>4.897942943540365</v>
      </c>
      <c r="K67" s="16">
        <f t="shared" si="5"/>
        <v>4.650140968840394</v>
      </c>
      <c r="L67" s="16">
        <f t="shared" si="5"/>
        <v>7.509686241738206</v>
      </c>
      <c r="M67" s="16" t="e">
        <f t="shared" si="5"/>
        <v>#REF!</v>
      </c>
      <c r="N67" s="16">
        <v>2.9697900665642605</v>
      </c>
      <c r="O67" s="16" t="e">
        <f>+O66/O63*100</f>
        <v>#REF!</v>
      </c>
      <c r="P67" s="16" t="e">
        <f>+P66/P63*100</f>
        <v>#REF!</v>
      </c>
      <c r="Q67" s="16" t="e">
        <f>+Q66/Q63*100</f>
        <v>#REF!</v>
      </c>
      <c r="R67" s="16">
        <v>3.5</v>
      </c>
      <c r="S67" s="16">
        <f>+S66/S63*100</f>
        <v>4.005330836004754</v>
      </c>
      <c r="T67" s="16">
        <f>+T66/T63*100</f>
        <v>5.237201427993081</v>
      </c>
      <c r="U67" s="16">
        <f>+U66/U63*100</f>
        <v>1.9119410656158984</v>
      </c>
      <c r="V67" s="16">
        <v>2.5189513581806695</v>
      </c>
      <c r="W67" s="16">
        <v>3.7</v>
      </c>
      <c r="X67" s="16">
        <v>-24.45537596626845</v>
      </c>
      <c r="Y67" s="16">
        <v>-4</v>
      </c>
      <c r="Z67" s="16">
        <f>+Z66/Z63*100</f>
        <v>2.8522376994810568</v>
      </c>
      <c r="AA67" s="16">
        <v>0.23927079377136345</v>
      </c>
      <c r="AB67" s="16">
        <v>4.836020011117288</v>
      </c>
      <c r="AC67" s="16">
        <v>4.442675159235669</v>
      </c>
      <c r="AD67" s="295">
        <v>1.7739883796885205</v>
      </c>
      <c r="AE67" s="295">
        <v>2.9</v>
      </c>
      <c r="AF67" s="295">
        <v>4.8</v>
      </c>
      <c r="AG67" s="295">
        <v>-0.6353400012580991</v>
      </c>
      <c r="AH67" s="295">
        <v>4.510208437077613</v>
      </c>
      <c r="AI67" s="295">
        <v>5.216289230563986</v>
      </c>
      <c r="AJ67" s="295">
        <v>5.918579022429664</v>
      </c>
      <c r="AK67" s="295">
        <v>5.027376804380289</v>
      </c>
    </row>
    <row r="68" spans="1:37" ht="12.75">
      <c r="A68" s="240" t="s">
        <v>38</v>
      </c>
      <c r="B68" s="240"/>
      <c r="C68" s="240"/>
      <c r="E68" s="49"/>
      <c r="F68" s="10"/>
      <c r="G68" s="10"/>
      <c r="H68" s="10"/>
      <c r="I68" s="10"/>
      <c r="J68" s="10"/>
      <c r="K68" s="10"/>
      <c r="L68" s="10"/>
      <c r="M68" s="10"/>
      <c r="N68" s="10"/>
      <c r="O68" s="10"/>
      <c r="P68" s="10"/>
      <c r="Q68" s="10"/>
      <c r="R68" s="10"/>
      <c r="S68" s="10"/>
      <c r="T68" s="10"/>
      <c r="U68" s="10"/>
      <c r="V68" s="10"/>
      <c r="W68" s="10"/>
      <c r="X68" s="10"/>
      <c r="Y68" s="10"/>
      <c r="Z68" s="10"/>
      <c r="AA68" s="10"/>
      <c r="AB68" s="10"/>
      <c r="AC68" s="10"/>
      <c r="AD68" s="44"/>
      <c r="AE68" s="44"/>
      <c r="AF68" s="44"/>
      <c r="AG68" s="44"/>
      <c r="AH68" s="44"/>
      <c r="AI68" s="44"/>
      <c r="AJ68" s="44"/>
      <c r="AK68" s="44"/>
    </row>
    <row r="69" spans="1:29" ht="12.75">
      <c r="A69" s="240" t="s">
        <v>38</v>
      </c>
      <c r="B69" s="240"/>
      <c r="C69" s="240"/>
      <c r="E69" s="53"/>
      <c r="F69" s="9"/>
      <c r="G69" s="9"/>
      <c r="H69" s="9"/>
      <c r="I69" s="9"/>
      <c r="J69" s="9"/>
      <c r="K69" s="9"/>
      <c r="L69" s="9"/>
      <c r="M69" s="9"/>
      <c r="N69" s="9"/>
      <c r="O69" s="9"/>
      <c r="P69" s="9"/>
      <c r="Q69" s="9"/>
      <c r="R69" s="9"/>
      <c r="S69" s="9"/>
      <c r="T69" s="9"/>
      <c r="U69" s="9"/>
      <c r="V69" s="9"/>
      <c r="W69" s="9"/>
      <c r="X69" s="9"/>
      <c r="Y69" s="9"/>
      <c r="Z69" s="9"/>
      <c r="AA69" s="9"/>
      <c r="AB69" s="9"/>
      <c r="AC69" s="9"/>
    </row>
    <row r="70" spans="1:37" s="41" customFormat="1" ht="12.75">
      <c r="A70" s="245" t="s">
        <v>35</v>
      </c>
      <c r="B70" s="245"/>
      <c r="C70" s="245"/>
      <c r="E70" s="154" t="s">
        <v>33</v>
      </c>
      <c r="F70" s="155" t="s">
        <v>8</v>
      </c>
      <c r="G70" s="155" t="s">
        <v>9</v>
      </c>
      <c r="H70" s="155" t="s">
        <v>338</v>
      </c>
      <c r="I70" s="155" t="s">
        <v>355</v>
      </c>
      <c r="J70" s="155" t="s">
        <v>362</v>
      </c>
      <c r="K70" s="155" t="s">
        <v>367</v>
      </c>
      <c r="L70" s="155" t="s">
        <v>371</v>
      </c>
      <c r="M70" s="155" t="s">
        <v>372</v>
      </c>
      <c r="N70" s="87" t="s">
        <v>378</v>
      </c>
      <c r="O70" s="87" t="s">
        <v>397</v>
      </c>
      <c r="P70" s="87" t="s">
        <v>398</v>
      </c>
      <c r="Q70" s="87" t="s">
        <v>398</v>
      </c>
      <c r="R70" s="87" t="s">
        <v>405</v>
      </c>
      <c r="S70" s="87" t="s">
        <v>409</v>
      </c>
      <c r="T70" s="87" t="s">
        <v>411</v>
      </c>
      <c r="U70" s="87" t="s">
        <v>414</v>
      </c>
      <c r="V70" s="87" t="s">
        <v>421</v>
      </c>
      <c r="W70" s="87" t="s">
        <v>429</v>
      </c>
      <c r="X70" s="87" t="s">
        <v>431</v>
      </c>
      <c r="Y70" s="87" t="s">
        <v>432</v>
      </c>
      <c r="Z70" s="87" t="s">
        <v>440</v>
      </c>
      <c r="AA70" s="87" t="s">
        <v>441</v>
      </c>
      <c r="AB70" s="87" t="s">
        <v>442</v>
      </c>
      <c r="AC70" s="87" t="s">
        <v>443</v>
      </c>
      <c r="AD70" s="87" t="s">
        <v>445</v>
      </c>
      <c r="AE70" s="87" t="s">
        <v>447</v>
      </c>
      <c r="AF70" s="87" t="s">
        <v>448</v>
      </c>
      <c r="AG70" s="87" t="s">
        <v>467</v>
      </c>
      <c r="AH70" s="87" t="s">
        <v>469</v>
      </c>
      <c r="AI70" s="87" t="s">
        <v>471</v>
      </c>
      <c r="AJ70" s="87" t="s">
        <v>605</v>
      </c>
      <c r="AK70" s="87" t="s">
        <v>608</v>
      </c>
    </row>
    <row r="71" spans="1:5" s="33" customFormat="1" ht="12.75">
      <c r="A71" s="238" t="s">
        <v>571</v>
      </c>
      <c r="B71" s="238"/>
      <c r="C71" s="238"/>
      <c r="E71" s="33" t="s">
        <v>31</v>
      </c>
    </row>
    <row r="72" spans="1:29" ht="12.75">
      <c r="A72" s="240" t="s">
        <v>35</v>
      </c>
      <c r="B72" s="240"/>
      <c r="C72" s="240"/>
      <c r="E72" s="119" t="s">
        <v>380</v>
      </c>
      <c r="F72" s="1"/>
      <c r="G72" s="1"/>
      <c r="H72" s="1"/>
      <c r="I72" s="1"/>
      <c r="J72" s="1"/>
      <c r="K72" s="1"/>
      <c r="L72" s="1"/>
      <c r="M72" s="1"/>
      <c r="N72" s="1"/>
      <c r="O72" s="1"/>
      <c r="P72" s="1"/>
      <c r="Q72" s="1"/>
      <c r="R72" s="1"/>
      <c r="S72" s="1"/>
      <c r="T72" s="1"/>
      <c r="U72" s="1"/>
      <c r="V72" s="1"/>
      <c r="W72" s="1"/>
      <c r="X72" s="1"/>
      <c r="Y72" s="1"/>
      <c r="Z72" s="1"/>
      <c r="AA72" s="1"/>
      <c r="AB72" s="1"/>
      <c r="AC72" s="1"/>
    </row>
    <row r="73" spans="1:37" ht="12.75">
      <c r="A73" s="240" t="s">
        <v>36</v>
      </c>
      <c r="B73" s="240"/>
      <c r="C73" s="240"/>
      <c r="E73" s="49" t="s">
        <v>237</v>
      </c>
      <c r="F73" s="9">
        <f>+F9</f>
        <v>9680</v>
      </c>
      <c r="G73" s="9">
        <v>19314</v>
      </c>
      <c r="H73" s="9">
        <v>29821</v>
      </c>
      <c r="I73" s="9">
        <v>40500</v>
      </c>
      <c r="J73" s="9">
        <v>8921</v>
      </c>
      <c r="K73" s="9">
        <v>17524</v>
      </c>
      <c r="L73" s="9">
        <v>26919</v>
      </c>
      <c r="M73" s="9">
        <v>36596</v>
      </c>
      <c r="N73" s="9">
        <v>7656</v>
      </c>
      <c r="O73" s="9" t="e">
        <f>+N73+O9</f>
        <v>#REF!</v>
      </c>
      <c r="P73" s="9">
        <v>24280</v>
      </c>
      <c r="Q73" s="9">
        <v>34029</v>
      </c>
      <c r="R73" s="9">
        <v>8265</v>
      </c>
      <c r="S73" s="9">
        <v>16481</v>
      </c>
      <c r="T73" s="9">
        <v>25062</v>
      </c>
      <c r="U73" s="9">
        <v>34278</v>
      </c>
      <c r="V73" s="9">
        <v>7595</v>
      </c>
      <c r="W73" s="9">
        <f>+V9+W9</f>
        <v>15635</v>
      </c>
      <c r="X73" s="9">
        <v>24155</v>
      </c>
      <c r="Y73" s="9">
        <v>33436</v>
      </c>
      <c r="Z73" s="9">
        <v>7865</v>
      </c>
      <c r="AA73" s="9">
        <v>15972</v>
      </c>
      <c r="AB73" s="9">
        <v>24713</v>
      </c>
      <c r="AC73" s="9">
        <v>34438</v>
      </c>
      <c r="AD73" s="9">
        <v>8608</v>
      </c>
      <c r="AE73" s="9">
        <v>17307</v>
      </c>
      <c r="AF73" s="9">
        <v>26847</v>
      </c>
      <c r="AG73" s="9">
        <v>37179</v>
      </c>
      <c r="AH73" s="9">
        <v>9001</v>
      </c>
      <c r="AI73" s="9">
        <v>17898</v>
      </c>
      <c r="AJ73" s="9">
        <v>27477</v>
      </c>
      <c r="AK73" s="9">
        <v>37844</v>
      </c>
    </row>
    <row r="74" spans="1:37" ht="12.75">
      <c r="A74" s="240" t="s">
        <v>36</v>
      </c>
      <c r="B74" s="240"/>
      <c r="C74" s="240" t="s">
        <v>530</v>
      </c>
      <c r="E74" s="49" t="s">
        <v>542</v>
      </c>
      <c r="F74" s="10"/>
      <c r="G74" s="10"/>
      <c r="H74" s="10"/>
      <c r="I74" s="10"/>
      <c r="J74" s="10"/>
      <c r="K74" s="10"/>
      <c r="L74" s="10"/>
      <c r="M74" s="10"/>
      <c r="N74" s="10">
        <v>-5.7</v>
      </c>
      <c r="O74" s="10">
        <v>-5.5</v>
      </c>
      <c r="P74" s="10">
        <v>-4.3</v>
      </c>
      <c r="Q74" s="10">
        <v>-2.2</v>
      </c>
      <c r="R74" s="10">
        <v>7.8</v>
      </c>
      <c r="S74" s="10">
        <v>7.7</v>
      </c>
      <c r="T74" s="10">
        <v>5.5</v>
      </c>
      <c r="U74" s="10">
        <v>3.2</v>
      </c>
      <c r="V74" s="10">
        <v>-3.8</v>
      </c>
      <c r="W74" s="10">
        <v>-0.7</v>
      </c>
      <c r="X74" s="10">
        <v>-0.6</v>
      </c>
      <c r="Y74" s="10">
        <v>-0.2</v>
      </c>
      <c r="Z74" s="10">
        <v>1.3</v>
      </c>
      <c r="AA74" s="10">
        <v>-0.5</v>
      </c>
      <c r="AB74" s="10">
        <v>-0.8</v>
      </c>
      <c r="AC74" s="10">
        <v>-0.2</v>
      </c>
      <c r="AD74" s="10">
        <v>3</v>
      </c>
      <c r="AE74" s="10">
        <v>2.8</v>
      </c>
      <c r="AF74" s="10">
        <v>3.7</v>
      </c>
      <c r="AG74" s="10">
        <v>4.4</v>
      </c>
      <c r="AH74" s="10">
        <v>7.1</v>
      </c>
      <c r="AI74" s="10">
        <v>6.2</v>
      </c>
      <c r="AJ74" s="10">
        <v>4.7</v>
      </c>
      <c r="AK74" s="10">
        <v>3.5</v>
      </c>
    </row>
    <row r="75" spans="1:37" ht="12.75">
      <c r="A75" s="240" t="s">
        <v>36</v>
      </c>
      <c r="B75" s="240"/>
      <c r="C75" s="240"/>
      <c r="E75" s="49" t="s">
        <v>17</v>
      </c>
      <c r="F75" s="9">
        <f>+F11</f>
        <v>112</v>
      </c>
      <c r="G75" s="9">
        <v>367</v>
      </c>
      <c r="H75" s="9">
        <v>1270</v>
      </c>
      <c r="I75" s="9">
        <v>1912</v>
      </c>
      <c r="J75" s="9">
        <v>499</v>
      </c>
      <c r="K75" s="9">
        <v>952</v>
      </c>
      <c r="L75" s="9">
        <v>1850</v>
      </c>
      <c r="M75" s="9">
        <v>2297</v>
      </c>
      <c r="N75" s="9">
        <v>311</v>
      </c>
      <c r="O75" s="9" t="e">
        <f>+N75+O11</f>
        <v>#REF!</v>
      </c>
      <c r="P75" s="9">
        <v>911</v>
      </c>
      <c r="Q75" s="9">
        <v>709</v>
      </c>
      <c r="R75" s="9">
        <v>271</v>
      </c>
      <c r="S75" s="43">
        <f>+R75+S11</f>
        <v>476</v>
      </c>
      <c r="T75" s="43">
        <f>+S75+T11</f>
        <v>770</v>
      </c>
      <c r="U75" s="43">
        <f>+T75+U11</f>
        <v>1105</v>
      </c>
      <c r="V75" s="43">
        <v>11</v>
      </c>
      <c r="W75" s="43">
        <f>+V11+W11</f>
        <v>9</v>
      </c>
      <c r="X75" s="43">
        <v>120</v>
      </c>
      <c r="Y75" s="43">
        <v>347</v>
      </c>
      <c r="Z75" s="43">
        <v>142</v>
      </c>
      <c r="AA75" s="43">
        <v>-759</v>
      </c>
      <c r="AB75" s="43">
        <v>-275</v>
      </c>
      <c r="AC75" s="43">
        <v>232</v>
      </c>
      <c r="AD75" s="9">
        <v>371</v>
      </c>
      <c r="AE75" s="9">
        <v>797</v>
      </c>
      <c r="AF75" s="9">
        <v>1402</v>
      </c>
      <c r="AG75" s="9">
        <v>2167</v>
      </c>
      <c r="AH75" s="9">
        <v>553</v>
      </c>
      <c r="AI75" s="9">
        <v>1120</v>
      </c>
      <c r="AJ75" s="9">
        <v>1800</v>
      </c>
      <c r="AK75" s="9">
        <v>2546</v>
      </c>
    </row>
    <row r="76" spans="1:37" ht="12.75">
      <c r="A76" s="240" t="s">
        <v>36</v>
      </c>
      <c r="B76" s="240"/>
      <c r="C76" s="240" t="s">
        <v>530</v>
      </c>
      <c r="E76" s="49" t="s">
        <v>531</v>
      </c>
      <c r="F76" s="10">
        <f>+F75/F73*100</f>
        <v>1.1570247933884297</v>
      </c>
      <c r="G76" s="10">
        <v>1.9</v>
      </c>
      <c r="H76" s="10">
        <v>4.3</v>
      </c>
      <c r="I76" s="10">
        <v>4.7</v>
      </c>
      <c r="J76" s="10">
        <v>5.6</v>
      </c>
      <c r="K76" s="10">
        <v>5.4</v>
      </c>
      <c r="L76" s="10">
        <v>6.9</v>
      </c>
      <c r="M76" s="10">
        <v>6.3</v>
      </c>
      <c r="N76" s="10">
        <v>4.062173458725183</v>
      </c>
      <c r="O76" s="10" t="e">
        <f>+O75/O73*100</f>
        <v>#REF!</v>
      </c>
      <c r="P76" s="10">
        <v>3.7520593080724876</v>
      </c>
      <c r="Q76" s="10">
        <v>2.083517000205707</v>
      </c>
      <c r="R76" s="10">
        <v>3.2788868723532967</v>
      </c>
      <c r="S76" s="10">
        <f>+S75/S73*100</f>
        <v>2.888174261270554</v>
      </c>
      <c r="T76" s="10">
        <f>+T75/T73*100</f>
        <v>3.072380496369005</v>
      </c>
      <c r="U76" s="10">
        <f>+U75/U73*100</f>
        <v>3.223641986113542</v>
      </c>
      <c r="V76" s="10">
        <v>0.1448321263989467</v>
      </c>
      <c r="W76" s="10">
        <f>+W75/W73*100</f>
        <v>0.05756315957787016</v>
      </c>
      <c r="X76" s="10">
        <v>0.49679155454357277</v>
      </c>
      <c r="Y76" s="10">
        <v>1.0378035650197392</v>
      </c>
      <c r="Z76" s="10">
        <v>1.8054672600127146</v>
      </c>
      <c r="AA76" s="10">
        <v>-4.75206611570248</v>
      </c>
      <c r="AB76" s="10">
        <v>-1.112774653016631</v>
      </c>
      <c r="AC76" s="10">
        <v>0.6736744294093734</v>
      </c>
      <c r="AD76" s="10">
        <v>4.309944237918216</v>
      </c>
      <c r="AE76" s="10">
        <v>4.605073091812562</v>
      </c>
      <c r="AF76" s="10">
        <v>5.222184974112564</v>
      </c>
      <c r="AG76" s="10">
        <v>5.828559132843809</v>
      </c>
      <c r="AH76" s="10">
        <v>6.143761804243973</v>
      </c>
      <c r="AI76" s="10">
        <v>6.2576824226170515</v>
      </c>
      <c r="AJ76" s="10">
        <v>6.550933508024894</v>
      </c>
      <c r="AK76" s="10">
        <v>6.727618644963535</v>
      </c>
    </row>
    <row r="77" spans="1:37" ht="12.75">
      <c r="A77" s="240" t="s">
        <v>38</v>
      </c>
      <c r="B77" s="240"/>
      <c r="C77" s="240"/>
      <c r="E77" s="49"/>
      <c r="F77" s="9"/>
      <c r="G77" s="9"/>
      <c r="H77" s="9"/>
      <c r="I77" s="9"/>
      <c r="J77" s="9"/>
      <c r="K77" s="9"/>
      <c r="L77" s="9"/>
      <c r="M77" s="9"/>
      <c r="N77" s="9"/>
      <c r="O77" s="9"/>
      <c r="P77" s="9"/>
      <c r="Q77" s="9"/>
      <c r="R77" s="10"/>
      <c r="S77" s="9"/>
      <c r="T77" s="9"/>
      <c r="U77" s="9"/>
      <c r="V77" s="9"/>
      <c r="W77" s="9"/>
      <c r="Y77" s="9"/>
      <c r="Z77" s="9"/>
      <c r="AC77" s="9"/>
      <c r="AD77" s="10"/>
      <c r="AE77" s="10"/>
      <c r="AF77" s="10"/>
      <c r="AG77" s="10"/>
      <c r="AH77" s="10"/>
      <c r="AI77" s="10"/>
      <c r="AJ77" s="10"/>
      <c r="AK77" s="10"/>
    </row>
    <row r="78" spans="1:37" ht="12.75">
      <c r="A78" s="240" t="s">
        <v>35</v>
      </c>
      <c r="B78" s="240"/>
      <c r="C78" s="240"/>
      <c r="E78" s="119" t="s">
        <v>381</v>
      </c>
      <c r="F78" s="1"/>
      <c r="G78" s="1"/>
      <c r="H78" s="1"/>
      <c r="I78" s="1"/>
      <c r="J78" s="1"/>
      <c r="K78" s="1"/>
      <c r="L78" s="1"/>
      <c r="M78" s="1"/>
      <c r="N78" s="1"/>
      <c r="O78" s="1"/>
      <c r="P78" s="1"/>
      <c r="Q78" s="1"/>
      <c r="R78" s="165"/>
      <c r="S78" s="1"/>
      <c r="T78" s="1"/>
      <c r="U78" s="14"/>
      <c r="V78" s="14"/>
      <c r="W78" s="14"/>
      <c r="X78" s="14"/>
      <c r="Y78" s="14"/>
      <c r="Z78" s="14"/>
      <c r="AA78" s="14"/>
      <c r="AB78" s="14"/>
      <c r="AC78" s="14"/>
      <c r="AD78" s="165"/>
      <c r="AE78" s="165"/>
      <c r="AF78" s="165"/>
      <c r="AG78" s="165"/>
      <c r="AH78" s="165"/>
      <c r="AI78" s="165"/>
      <c r="AJ78" s="165"/>
      <c r="AK78" s="165"/>
    </row>
    <row r="79" spans="1:37" ht="12.75">
      <c r="A79" s="240" t="s">
        <v>36</v>
      </c>
      <c r="B79" s="240"/>
      <c r="C79" s="240"/>
      <c r="E79" s="49" t="s">
        <v>10</v>
      </c>
      <c r="F79" s="9">
        <v>8398</v>
      </c>
      <c r="G79" s="9">
        <v>17456</v>
      </c>
      <c r="H79" s="9">
        <v>25592</v>
      </c>
      <c r="I79" s="9">
        <v>32694</v>
      </c>
      <c r="J79" s="9">
        <v>7305</v>
      </c>
      <c r="K79" s="9">
        <v>16613</v>
      </c>
      <c r="L79" s="9">
        <v>24217</v>
      </c>
      <c r="M79" s="9">
        <v>30969</v>
      </c>
      <c r="N79" s="10">
        <v>6728</v>
      </c>
      <c r="O79" s="10" t="e">
        <f>+N79+O15</f>
        <v>#REF!</v>
      </c>
      <c r="P79" s="10">
        <v>21394</v>
      </c>
      <c r="Q79" s="10">
        <v>27665</v>
      </c>
      <c r="R79" s="9">
        <v>7107</v>
      </c>
      <c r="S79" s="10">
        <v>15706</v>
      </c>
      <c r="T79" s="10">
        <v>23477</v>
      </c>
      <c r="U79" s="10">
        <v>30684</v>
      </c>
      <c r="V79" s="10">
        <v>7678</v>
      </c>
      <c r="W79" s="10">
        <f>+V15+W15</f>
        <v>16126</v>
      </c>
      <c r="X79" s="10">
        <v>24291</v>
      </c>
      <c r="Y79" s="10">
        <v>31864</v>
      </c>
      <c r="Z79" s="10">
        <v>7664</v>
      </c>
      <c r="AA79" s="10">
        <v>16128</v>
      </c>
      <c r="AB79" s="10">
        <v>25217</v>
      </c>
      <c r="AC79" s="10">
        <v>34141</v>
      </c>
      <c r="AD79" s="9">
        <v>9313</v>
      </c>
      <c r="AE79" s="9">
        <v>21030</v>
      </c>
      <c r="AF79" s="9">
        <v>32640</v>
      </c>
      <c r="AG79" s="9">
        <v>43053</v>
      </c>
      <c r="AH79" s="9">
        <v>9937</v>
      </c>
      <c r="AI79" s="9">
        <v>21387</v>
      </c>
      <c r="AJ79" s="9">
        <v>32576</v>
      </c>
      <c r="AK79" s="9">
        <v>43402</v>
      </c>
    </row>
    <row r="80" spans="1:37" ht="12.75">
      <c r="A80" s="240" t="s">
        <v>36</v>
      </c>
      <c r="B80" s="240"/>
      <c r="C80" s="240" t="s">
        <v>530</v>
      </c>
      <c r="E80" s="49" t="s">
        <v>542</v>
      </c>
      <c r="F80" s="10"/>
      <c r="G80" s="10"/>
      <c r="H80" s="10"/>
      <c r="I80" s="10"/>
      <c r="J80" s="10"/>
      <c r="K80" s="10"/>
      <c r="L80" s="10"/>
      <c r="M80" s="10"/>
      <c r="N80" s="10">
        <v>1.8</v>
      </c>
      <c r="O80" s="10">
        <v>-0.9</v>
      </c>
      <c r="P80" s="10">
        <v>0.1</v>
      </c>
      <c r="Q80" s="10">
        <v>-1.3</v>
      </c>
      <c r="R80" s="10">
        <v>2.4</v>
      </c>
      <c r="S80" s="10">
        <v>2.8</v>
      </c>
      <c r="T80" s="10">
        <v>3.9</v>
      </c>
      <c r="U80" s="10">
        <v>6.9</v>
      </c>
      <c r="V80" s="10">
        <v>12.2</v>
      </c>
      <c r="W80" s="10">
        <v>7.4</v>
      </c>
      <c r="X80" s="10">
        <v>7.6</v>
      </c>
      <c r="Y80" s="10">
        <v>7.6</v>
      </c>
      <c r="Z80" s="10">
        <v>0.4</v>
      </c>
      <c r="AA80" s="10">
        <v>0.4</v>
      </c>
      <c r="AB80" s="10">
        <v>2</v>
      </c>
      <c r="AC80" s="10">
        <v>2.2</v>
      </c>
      <c r="AD80" s="10">
        <v>-3.6</v>
      </c>
      <c r="AE80" s="10">
        <v>4.2</v>
      </c>
      <c r="AF80" s="10">
        <v>5.2</v>
      </c>
      <c r="AG80" s="10">
        <v>4.9</v>
      </c>
      <c r="AH80" s="10">
        <v>5.7</v>
      </c>
      <c r="AI80" s="10">
        <v>1.7</v>
      </c>
      <c r="AJ80" s="10">
        <v>-0.5</v>
      </c>
      <c r="AK80" s="10">
        <v>-0.9</v>
      </c>
    </row>
    <row r="81" spans="1:37" ht="12.75">
      <c r="A81" s="240" t="s">
        <v>36</v>
      </c>
      <c r="B81" s="240"/>
      <c r="C81" s="240"/>
      <c r="E81" s="49" t="s">
        <v>17</v>
      </c>
      <c r="F81" s="9">
        <v>-178</v>
      </c>
      <c r="G81" s="9">
        <v>300</v>
      </c>
      <c r="H81" s="9">
        <v>917</v>
      </c>
      <c r="I81" s="9">
        <v>1299</v>
      </c>
      <c r="J81" s="9">
        <v>299</v>
      </c>
      <c r="K81" s="9">
        <v>738</v>
      </c>
      <c r="L81" s="9">
        <v>1151</v>
      </c>
      <c r="M81" s="9">
        <v>1442</v>
      </c>
      <c r="N81" s="9">
        <v>-71</v>
      </c>
      <c r="O81" s="9" t="e">
        <f>+N81+O17</f>
        <v>#REF!</v>
      </c>
      <c r="P81" s="9">
        <v>174</v>
      </c>
      <c r="Q81" s="9">
        <v>250</v>
      </c>
      <c r="R81" s="9">
        <v>131</v>
      </c>
      <c r="S81" s="43">
        <f>+R81+S17</f>
        <v>619</v>
      </c>
      <c r="T81" s="43">
        <f>+S81+T17</f>
        <v>1115</v>
      </c>
      <c r="U81" s="43">
        <f>+T81+U17</f>
        <v>1452</v>
      </c>
      <c r="V81" s="43">
        <v>457</v>
      </c>
      <c r="W81" s="43">
        <f>+V17+W17</f>
        <v>1120</v>
      </c>
      <c r="X81" s="43">
        <v>1683</v>
      </c>
      <c r="Y81" s="43">
        <v>2136</v>
      </c>
      <c r="Z81" s="43">
        <v>382</v>
      </c>
      <c r="AA81" s="43">
        <v>1062</v>
      </c>
      <c r="AB81" s="43">
        <v>1580</v>
      </c>
      <c r="AC81" s="43">
        <v>1714</v>
      </c>
      <c r="AD81" s="9">
        <v>-57</v>
      </c>
      <c r="AE81" s="9">
        <v>344</v>
      </c>
      <c r="AF81" s="9">
        <v>1087</v>
      </c>
      <c r="AG81" s="9">
        <v>1580</v>
      </c>
      <c r="AH81" s="9">
        <v>495</v>
      </c>
      <c r="AI81" s="9">
        <v>1237</v>
      </c>
      <c r="AJ81" s="9">
        <v>2061</v>
      </c>
      <c r="AK81" s="9">
        <v>2671</v>
      </c>
    </row>
    <row r="82" spans="1:37" ht="12.75">
      <c r="A82" s="240" t="s">
        <v>36</v>
      </c>
      <c r="B82" s="240"/>
      <c r="C82" s="240" t="s">
        <v>530</v>
      </c>
      <c r="E82" s="49" t="s">
        <v>531</v>
      </c>
      <c r="F82" s="10">
        <v>-2.1</v>
      </c>
      <c r="G82" s="10">
        <v>1.7</v>
      </c>
      <c r="H82" s="10">
        <v>3.6</v>
      </c>
      <c r="I82" s="10">
        <v>4</v>
      </c>
      <c r="J82" s="10">
        <v>4.1</v>
      </c>
      <c r="K82" s="10">
        <v>4.4</v>
      </c>
      <c r="L82" s="10">
        <v>4.8</v>
      </c>
      <c r="M82" s="10">
        <v>4.7</v>
      </c>
      <c r="N82" s="10">
        <v>-1.0552913198573126</v>
      </c>
      <c r="O82" s="10" t="e">
        <f>+O81/O79*100</f>
        <v>#REF!</v>
      </c>
      <c r="P82" s="10">
        <v>0.8133121435916612</v>
      </c>
      <c r="Q82" s="10">
        <v>0.9036688957166094</v>
      </c>
      <c r="R82" s="10">
        <v>1.8432531307161955</v>
      </c>
      <c r="S82" s="10">
        <f>+S81/S79*100</f>
        <v>3.94116898000764</v>
      </c>
      <c r="T82" s="10">
        <f>+T81/T79*100</f>
        <v>4.749329130638498</v>
      </c>
      <c r="U82" s="10">
        <f>+U81/U79*100</f>
        <v>4.732107938991005</v>
      </c>
      <c r="V82" s="10">
        <v>5.952070851784319</v>
      </c>
      <c r="W82" s="10">
        <f>+W81/W79*100</f>
        <v>6.945305717474885</v>
      </c>
      <c r="X82" s="10">
        <v>6.928492034086699</v>
      </c>
      <c r="Y82" s="10">
        <v>6.703489831785086</v>
      </c>
      <c r="Z82" s="10">
        <v>4.984342379958246</v>
      </c>
      <c r="AA82" s="10">
        <v>6.584821428571429</v>
      </c>
      <c r="AB82" s="10">
        <v>6.2656144664313755</v>
      </c>
      <c r="AC82" s="10">
        <v>5.020356755806802</v>
      </c>
      <c r="AD82" s="10">
        <v>-0.6120476752926017</v>
      </c>
      <c r="AE82" s="10">
        <v>1.6357584403233476</v>
      </c>
      <c r="AF82" s="10">
        <v>3.330269607843137</v>
      </c>
      <c r="AG82" s="10">
        <v>3.6698952453952103</v>
      </c>
      <c r="AH82" s="10">
        <v>4.981382711079803</v>
      </c>
      <c r="AI82" s="10">
        <v>5.78388740823865</v>
      </c>
      <c r="AJ82" s="10">
        <v>6.326743614931238</v>
      </c>
      <c r="AK82" s="10">
        <v>6.154094281369522</v>
      </c>
    </row>
    <row r="83" spans="1:37" ht="12.75">
      <c r="A83" s="240" t="s">
        <v>38</v>
      </c>
      <c r="B83" s="240"/>
      <c r="C83" s="240"/>
      <c r="E83" s="49"/>
      <c r="F83" s="9"/>
      <c r="G83" s="9"/>
      <c r="H83" s="9"/>
      <c r="I83" s="9"/>
      <c r="J83" s="9"/>
      <c r="K83" s="9"/>
      <c r="L83" s="9"/>
      <c r="M83" s="9"/>
      <c r="N83" s="9"/>
      <c r="O83" s="9"/>
      <c r="P83" s="9"/>
      <c r="Q83" s="9"/>
      <c r="R83" s="10"/>
      <c r="S83" s="9"/>
      <c r="T83" s="9"/>
      <c r="U83" s="9"/>
      <c r="V83" s="9"/>
      <c r="W83" s="9"/>
      <c r="Y83" s="9"/>
      <c r="Z83" s="9"/>
      <c r="AC83" s="9"/>
      <c r="AD83" s="10"/>
      <c r="AE83" s="10"/>
      <c r="AF83" s="10"/>
      <c r="AG83" s="10"/>
      <c r="AH83" s="10"/>
      <c r="AI83" s="10"/>
      <c r="AJ83" s="10"/>
      <c r="AK83" s="10"/>
    </row>
    <row r="84" spans="1:37" ht="12.75">
      <c r="A84" s="240" t="s">
        <v>35</v>
      </c>
      <c r="B84" s="240"/>
      <c r="C84" s="240"/>
      <c r="E84" s="119" t="s">
        <v>382</v>
      </c>
      <c r="F84" s="9"/>
      <c r="G84" s="9"/>
      <c r="H84" s="9"/>
      <c r="I84" s="9"/>
      <c r="J84" s="9"/>
      <c r="K84" s="9"/>
      <c r="L84" s="9"/>
      <c r="M84" s="9"/>
      <c r="N84" s="9"/>
      <c r="O84" s="9"/>
      <c r="P84" s="9"/>
      <c r="Q84" s="9"/>
      <c r="R84" s="10"/>
      <c r="S84" s="9"/>
      <c r="T84" s="9"/>
      <c r="U84" s="9"/>
      <c r="V84" s="9"/>
      <c r="W84" s="9"/>
      <c r="X84" s="9"/>
      <c r="Y84" s="9"/>
      <c r="Z84" s="9"/>
      <c r="AA84" s="9"/>
      <c r="AB84" s="9"/>
      <c r="AC84" s="9"/>
      <c r="AD84" s="10"/>
      <c r="AE84" s="10"/>
      <c r="AF84" s="10"/>
      <c r="AG84" s="10"/>
      <c r="AH84" s="10"/>
      <c r="AI84" s="10"/>
      <c r="AJ84" s="10"/>
      <c r="AK84" s="10"/>
    </row>
    <row r="85" spans="1:37" ht="12.75">
      <c r="A85" s="240" t="s">
        <v>36</v>
      </c>
      <c r="B85" s="240"/>
      <c r="C85" s="240"/>
      <c r="E85" s="49" t="s">
        <v>10</v>
      </c>
      <c r="F85" s="9">
        <v>2437</v>
      </c>
      <c r="G85" s="9">
        <v>5559</v>
      </c>
      <c r="H85" s="9">
        <v>9130</v>
      </c>
      <c r="I85" s="9">
        <v>13302</v>
      </c>
      <c r="J85" s="9">
        <v>3796</v>
      </c>
      <c r="K85" s="9">
        <v>7463</v>
      </c>
      <c r="L85" s="9">
        <v>11273</v>
      </c>
      <c r="M85" s="9">
        <v>16260</v>
      </c>
      <c r="N85" s="9">
        <v>3998</v>
      </c>
      <c r="O85" s="9" t="e">
        <f>+N85+O21</f>
        <v>#REF!</v>
      </c>
      <c r="P85" s="9">
        <v>11807</v>
      </c>
      <c r="Q85" s="9">
        <v>17810</v>
      </c>
      <c r="R85" s="9">
        <v>5149</v>
      </c>
      <c r="S85" s="9">
        <v>10332</v>
      </c>
      <c r="T85" s="9">
        <v>15633</v>
      </c>
      <c r="U85" s="9">
        <v>22044</v>
      </c>
      <c r="V85" s="9">
        <v>4885</v>
      </c>
      <c r="W85" s="9">
        <f>+V21+W21</f>
        <v>10357</v>
      </c>
      <c r="X85" s="9">
        <v>15056</v>
      </c>
      <c r="Y85" s="9">
        <v>20695</v>
      </c>
      <c r="Z85" s="9">
        <v>4790</v>
      </c>
      <c r="AA85" s="9">
        <v>8854</v>
      </c>
      <c r="AB85" s="9">
        <v>13907</v>
      </c>
      <c r="AC85" s="9">
        <v>20041</v>
      </c>
      <c r="AD85" s="9">
        <v>5261</v>
      </c>
      <c r="AE85" s="9">
        <v>9737</v>
      </c>
      <c r="AF85" s="9">
        <v>13927</v>
      </c>
      <c r="AG85" s="9">
        <v>18546</v>
      </c>
      <c r="AH85" s="9">
        <v>3643</v>
      </c>
      <c r="AI85" s="9">
        <v>7302</v>
      </c>
      <c r="AJ85" s="9">
        <v>11270</v>
      </c>
      <c r="AK85" s="9">
        <v>15419</v>
      </c>
    </row>
    <row r="86" spans="1:37" ht="12.75">
      <c r="A86" s="240" t="s">
        <v>36</v>
      </c>
      <c r="B86" s="240"/>
      <c r="C86" s="240" t="s">
        <v>530</v>
      </c>
      <c r="E86" s="49" t="s">
        <v>542</v>
      </c>
      <c r="F86" s="10"/>
      <c r="G86" s="10"/>
      <c r="H86" s="10"/>
      <c r="I86" s="10"/>
      <c r="J86" s="10"/>
      <c r="K86" s="10"/>
      <c r="L86" s="10"/>
      <c r="M86" s="10"/>
      <c r="N86" s="10">
        <v>9.3</v>
      </c>
      <c r="O86" s="10">
        <v>10.2</v>
      </c>
      <c r="P86" s="10">
        <v>11.4</v>
      </c>
      <c r="Q86" s="10">
        <v>16.5</v>
      </c>
      <c r="R86" s="10">
        <v>32.8</v>
      </c>
      <c r="S86" s="10">
        <v>40.4</v>
      </c>
      <c r="T86" s="10">
        <v>42.4</v>
      </c>
      <c r="U86" s="10">
        <v>34.6</v>
      </c>
      <c r="V86" s="10">
        <v>7.4</v>
      </c>
      <c r="W86" s="10">
        <v>12.6</v>
      </c>
      <c r="X86" s="10">
        <v>8.6</v>
      </c>
      <c r="Y86" s="10">
        <v>6.4</v>
      </c>
      <c r="Z86" s="10">
        <v>14.8</v>
      </c>
      <c r="AA86" s="10">
        <v>-3.2</v>
      </c>
      <c r="AB86" s="10">
        <v>0.5</v>
      </c>
      <c r="AC86" s="10">
        <v>2.8</v>
      </c>
      <c r="AD86" s="10">
        <v>2</v>
      </c>
      <c r="AE86" s="10">
        <v>6.3</v>
      </c>
      <c r="AF86" s="10">
        <v>2.3</v>
      </c>
      <c r="AG86" s="10">
        <v>-1.5</v>
      </c>
      <c r="AH86" s="10">
        <v>-11.3</v>
      </c>
      <c r="AI86" s="10">
        <v>-9.3</v>
      </c>
      <c r="AJ86" s="10">
        <v>-8.3</v>
      </c>
      <c r="AK86" s="10">
        <v>-10.8</v>
      </c>
    </row>
    <row r="87" spans="1:37" ht="12.75">
      <c r="A87" s="240" t="s">
        <v>36</v>
      </c>
      <c r="B87" s="240"/>
      <c r="C87" s="240"/>
      <c r="E87" s="49" t="s">
        <v>17</v>
      </c>
      <c r="F87" s="9">
        <v>34</v>
      </c>
      <c r="G87" s="9">
        <v>167</v>
      </c>
      <c r="H87" s="9">
        <v>463</v>
      </c>
      <c r="I87" s="9">
        <v>809</v>
      </c>
      <c r="J87" s="9">
        <v>206</v>
      </c>
      <c r="K87" s="9">
        <v>415</v>
      </c>
      <c r="L87" s="9">
        <v>614</v>
      </c>
      <c r="M87" s="9">
        <v>951</v>
      </c>
      <c r="N87" s="9">
        <v>139</v>
      </c>
      <c r="O87" s="9" t="e">
        <f>+N87+O23</f>
        <v>#REF!</v>
      </c>
      <c r="P87" s="9">
        <v>475</v>
      </c>
      <c r="Q87" s="9">
        <v>820</v>
      </c>
      <c r="R87" s="9">
        <v>278</v>
      </c>
      <c r="S87" s="43">
        <f>+R87+S23</f>
        <v>594</v>
      </c>
      <c r="T87" s="43">
        <f>+S87+T23</f>
        <v>933</v>
      </c>
      <c r="U87" s="43">
        <f>+T87+U23</f>
        <v>1590</v>
      </c>
      <c r="V87" s="43">
        <v>251</v>
      </c>
      <c r="W87" s="43">
        <f>+V23+W23</f>
        <v>512</v>
      </c>
      <c r="X87" s="43">
        <v>755</v>
      </c>
      <c r="Y87" s="43">
        <v>979</v>
      </c>
      <c r="Z87" s="43">
        <v>211</v>
      </c>
      <c r="AA87" s="43">
        <v>349</v>
      </c>
      <c r="AB87" s="43">
        <v>591</v>
      </c>
      <c r="AC87" s="43">
        <v>1069</v>
      </c>
      <c r="AD87" s="9">
        <v>177</v>
      </c>
      <c r="AE87" s="9">
        <v>284</v>
      </c>
      <c r="AF87" s="9">
        <v>394</v>
      </c>
      <c r="AG87" s="9">
        <v>463</v>
      </c>
      <c r="AH87" s="9">
        <v>31</v>
      </c>
      <c r="AI87" s="9">
        <v>100</v>
      </c>
      <c r="AJ87" s="9">
        <v>119</v>
      </c>
      <c r="AK87" s="9">
        <v>-68</v>
      </c>
    </row>
    <row r="88" spans="1:37" ht="12.75">
      <c r="A88" s="240" t="s">
        <v>36</v>
      </c>
      <c r="B88" s="240"/>
      <c r="C88" s="240" t="s">
        <v>530</v>
      </c>
      <c r="E88" s="49" t="s">
        <v>531</v>
      </c>
      <c r="F88" s="10">
        <v>1.4</v>
      </c>
      <c r="G88" s="10">
        <v>3</v>
      </c>
      <c r="H88" s="10">
        <v>5.1</v>
      </c>
      <c r="I88" s="10">
        <v>6.1</v>
      </c>
      <c r="J88" s="10">
        <v>5.4</v>
      </c>
      <c r="K88" s="10">
        <v>5.6</v>
      </c>
      <c r="L88" s="10">
        <v>5.4</v>
      </c>
      <c r="M88" s="10">
        <v>5.8</v>
      </c>
      <c r="N88" s="10">
        <v>3.476738369184592</v>
      </c>
      <c r="O88" s="10" t="e">
        <f>+O87/O85*100</f>
        <v>#REF!</v>
      </c>
      <c r="P88" s="10">
        <v>4.023037181333108</v>
      </c>
      <c r="Q88" s="10">
        <v>4.604154969118473</v>
      </c>
      <c r="R88" s="10">
        <v>5.399106622645173</v>
      </c>
      <c r="S88" s="10">
        <f>+S87/S85*100</f>
        <v>5.7491289198606275</v>
      </c>
      <c r="T88" s="10">
        <f>+T87/T85*100</f>
        <v>5.968144310113222</v>
      </c>
      <c r="U88" s="10">
        <f>+U87/U85*100</f>
        <v>7.212847033206314</v>
      </c>
      <c r="V88" s="10">
        <v>5.138178096212897</v>
      </c>
      <c r="W88" s="10">
        <f>+W87/W85*100</f>
        <v>4.9435164622960315</v>
      </c>
      <c r="X88" s="10">
        <v>5.01461211477152</v>
      </c>
      <c r="Y88" s="10">
        <v>4.730611258758154</v>
      </c>
      <c r="Z88" s="10">
        <v>4.4050104384133615</v>
      </c>
      <c r="AA88" s="10">
        <v>3.9417212559295236</v>
      </c>
      <c r="AB88" s="10">
        <v>4.249658445387215</v>
      </c>
      <c r="AC88" s="10">
        <v>5.334065166408862</v>
      </c>
      <c r="AD88" s="10">
        <v>3.3643793955521764</v>
      </c>
      <c r="AE88" s="10">
        <v>2.9167094587655336</v>
      </c>
      <c r="AF88" s="10">
        <v>2.829037122136856</v>
      </c>
      <c r="AG88" s="10">
        <v>2.496495201121536</v>
      </c>
      <c r="AH88" s="10">
        <v>0.8509470216854241</v>
      </c>
      <c r="AI88" s="10">
        <v>1.3694878115584772</v>
      </c>
      <c r="AJ88" s="10">
        <v>1.0559006211180124</v>
      </c>
      <c r="AK88" s="10">
        <v>-0.4410143329658214</v>
      </c>
    </row>
    <row r="89" spans="1:37" ht="12.75">
      <c r="A89" s="240" t="s">
        <v>38</v>
      </c>
      <c r="B89" s="240"/>
      <c r="C89" s="240"/>
      <c r="E89" s="122"/>
      <c r="F89" s="9"/>
      <c r="G89" s="9"/>
      <c r="H89" s="9"/>
      <c r="I89" s="9"/>
      <c r="J89" s="9"/>
      <c r="K89" s="9"/>
      <c r="L89" s="9"/>
      <c r="M89" s="9"/>
      <c r="N89" s="9"/>
      <c r="O89" s="9"/>
      <c r="P89" s="9"/>
      <c r="Q89" s="9"/>
      <c r="R89" s="10"/>
      <c r="S89" s="9"/>
      <c r="T89" s="9"/>
      <c r="U89" s="9"/>
      <c r="V89" s="9"/>
      <c r="W89" s="9"/>
      <c r="Y89" s="9"/>
      <c r="Z89" s="9"/>
      <c r="AC89" s="9"/>
      <c r="AD89" s="10"/>
      <c r="AE89" s="10"/>
      <c r="AF89" s="10"/>
      <c r="AG89" s="10"/>
      <c r="AH89" s="10"/>
      <c r="AI89" s="10"/>
      <c r="AJ89" s="10"/>
      <c r="AK89" s="10"/>
    </row>
    <row r="90" spans="1:37" ht="12.75">
      <c r="A90" s="240" t="s">
        <v>35</v>
      </c>
      <c r="B90" s="240"/>
      <c r="C90" s="240"/>
      <c r="E90" s="123" t="s">
        <v>383</v>
      </c>
      <c r="F90" s="9"/>
      <c r="G90" s="9"/>
      <c r="H90" s="9"/>
      <c r="I90" s="9"/>
      <c r="J90" s="9"/>
      <c r="K90" s="9"/>
      <c r="L90" s="9"/>
      <c r="M90" s="9"/>
      <c r="N90" s="9"/>
      <c r="O90" s="9"/>
      <c r="P90" s="9"/>
      <c r="Q90" s="9"/>
      <c r="R90" s="10"/>
      <c r="S90" s="9"/>
      <c r="T90" s="9"/>
      <c r="U90" s="9"/>
      <c r="V90" s="9"/>
      <c r="W90" s="9"/>
      <c r="X90" s="9"/>
      <c r="Y90" s="9"/>
      <c r="Z90" s="9"/>
      <c r="AA90" s="9"/>
      <c r="AB90" s="9"/>
      <c r="AC90" s="9"/>
      <c r="AD90" s="10"/>
      <c r="AE90" s="10"/>
      <c r="AF90" s="10"/>
      <c r="AG90" s="10"/>
      <c r="AH90" s="10"/>
      <c r="AI90" s="10"/>
      <c r="AJ90" s="10"/>
      <c r="AK90" s="10"/>
    </row>
    <row r="91" spans="1:37" ht="12.75">
      <c r="A91" s="240" t="s">
        <v>36</v>
      </c>
      <c r="B91" s="240"/>
      <c r="C91" s="240"/>
      <c r="E91" s="122" t="s">
        <v>10</v>
      </c>
      <c r="F91" s="9">
        <v>1533</v>
      </c>
      <c r="G91" s="9">
        <v>3320</v>
      </c>
      <c r="H91" s="9">
        <v>5066</v>
      </c>
      <c r="I91" s="9">
        <v>7037</v>
      </c>
      <c r="J91" s="9">
        <v>1666</v>
      </c>
      <c r="K91" s="9">
        <v>3701</v>
      </c>
      <c r="L91" s="9">
        <v>5610</v>
      </c>
      <c r="M91" s="9">
        <v>7679</v>
      </c>
      <c r="N91" s="9">
        <v>1746</v>
      </c>
      <c r="O91" s="9" t="e">
        <f>+N91+O27</f>
        <v>#REF!</v>
      </c>
      <c r="P91" s="9">
        <v>5672</v>
      </c>
      <c r="Q91" s="9">
        <v>7852</v>
      </c>
      <c r="R91" s="9">
        <v>1841</v>
      </c>
      <c r="S91" s="9">
        <v>4039</v>
      </c>
      <c r="T91" s="9">
        <v>6146</v>
      </c>
      <c r="U91" s="9">
        <v>8405</v>
      </c>
      <c r="V91" s="9">
        <v>1948</v>
      </c>
      <c r="W91" s="9">
        <f>+V27+W27</f>
        <v>4175</v>
      </c>
      <c r="X91" s="9">
        <v>6496</v>
      </c>
      <c r="Y91" s="9">
        <v>8653</v>
      </c>
      <c r="Z91" s="9">
        <v>1928</v>
      </c>
      <c r="AA91" s="9">
        <v>4149</v>
      </c>
      <c r="AB91" s="9">
        <v>6491</v>
      </c>
      <c r="AC91" s="9">
        <v>8803</v>
      </c>
      <c r="AD91" s="9">
        <v>2241</v>
      </c>
      <c r="AE91" s="9">
        <v>4817</v>
      </c>
      <c r="AF91" s="9">
        <v>7009</v>
      </c>
      <c r="AG91" s="9">
        <v>9229</v>
      </c>
      <c r="AH91" s="9">
        <v>2022</v>
      </c>
      <c r="AI91" s="9">
        <v>4429</v>
      </c>
      <c r="AJ91" s="9">
        <v>6944</v>
      </c>
      <c r="AK91" s="9">
        <v>9380</v>
      </c>
    </row>
    <row r="92" spans="1:37" ht="12.75">
      <c r="A92" s="240" t="s">
        <v>36</v>
      </c>
      <c r="B92" s="240"/>
      <c r="C92" s="240" t="s">
        <v>530</v>
      </c>
      <c r="E92" s="49" t="s">
        <v>542</v>
      </c>
      <c r="F92" s="10"/>
      <c r="G92" s="10"/>
      <c r="H92" s="10"/>
      <c r="I92" s="10"/>
      <c r="J92" s="10"/>
      <c r="K92" s="10"/>
      <c r="L92" s="10"/>
      <c r="M92" s="10"/>
      <c r="N92" s="10">
        <v>5.7</v>
      </c>
      <c r="O92" s="10">
        <v>2.7</v>
      </c>
      <c r="P92" s="10">
        <v>2.9</v>
      </c>
      <c r="Q92" s="10">
        <v>3.2</v>
      </c>
      <c r="R92" s="10">
        <v>-0.8</v>
      </c>
      <c r="S92" s="10">
        <v>2.1</v>
      </c>
      <c r="T92" s="10">
        <v>2.6</v>
      </c>
      <c r="U92" s="10">
        <v>2.9</v>
      </c>
      <c r="V92" s="10">
        <v>10.5</v>
      </c>
      <c r="W92" s="10">
        <v>9.1</v>
      </c>
      <c r="X92" s="10">
        <v>13.1</v>
      </c>
      <c r="Y92" s="10">
        <v>10.8</v>
      </c>
      <c r="Z92" s="10">
        <v>8.4</v>
      </c>
      <c r="AA92" s="10">
        <v>5.6</v>
      </c>
      <c r="AB92" s="10">
        <v>1.9</v>
      </c>
      <c r="AC92" s="10">
        <v>0.4</v>
      </c>
      <c r="AD92" s="10">
        <v>-2.3</v>
      </c>
      <c r="AE92" s="10">
        <v>-0.7</v>
      </c>
      <c r="AF92" s="10">
        <v>-5</v>
      </c>
      <c r="AG92" s="10">
        <v>-5.1</v>
      </c>
      <c r="AH92" s="10">
        <v>-5.4</v>
      </c>
      <c r="AI92" s="10">
        <v>-3.5</v>
      </c>
      <c r="AJ92" s="10">
        <v>1.1</v>
      </c>
      <c r="AK92" s="10">
        <v>1.3</v>
      </c>
    </row>
    <row r="93" spans="1:37" ht="12.75">
      <c r="A93" s="240" t="s">
        <v>36</v>
      </c>
      <c r="B93" s="240"/>
      <c r="C93" s="240" t="s">
        <v>530</v>
      </c>
      <c r="E93" s="49" t="s">
        <v>546</v>
      </c>
      <c r="F93" s="10"/>
      <c r="G93" s="10"/>
      <c r="H93" s="10"/>
      <c r="I93" s="10"/>
      <c r="J93" s="10"/>
      <c r="K93" s="10"/>
      <c r="L93" s="10"/>
      <c r="M93" s="10"/>
      <c r="N93" s="10"/>
      <c r="O93" s="10"/>
      <c r="P93" s="10"/>
      <c r="Q93" s="10"/>
      <c r="R93" s="10"/>
      <c r="S93" s="10"/>
      <c r="T93" s="10"/>
      <c r="U93" s="10"/>
      <c r="V93" s="10"/>
      <c r="W93" s="10"/>
      <c r="X93" s="10"/>
      <c r="Y93" s="10"/>
      <c r="Z93" s="10">
        <v>0</v>
      </c>
      <c r="AA93" s="10">
        <v>0</v>
      </c>
      <c r="AB93" s="10">
        <v>0</v>
      </c>
      <c r="AC93" s="10">
        <v>0.6</v>
      </c>
      <c r="AD93" s="10">
        <v>1</v>
      </c>
      <c r="AE93" s="10">
        <v>0.9</v>
      </c>
      <c r="AF93" s="10">
        <v>1.1</v>
      </c>
      <c r="AG93" s="10">
        <v>0.8</v>
      </c>
      <c r="AH93" s="10">
        <v>0</v>
      </c>
      <c r="AI93" s="10">
        <v>0</v>
      </c>
      <c r="AJ93" s="10">
        <v>0.2</v>
      </c>
      <c r="AK93" s="10">
        <v>0.5</v>
      </c>
    </row>
    <row r="94" spans="1:37" ht="12.75">
      <c r="A94" s="240" t="s">
        <v>36</v>
      </c>
      <c r="B94" s="240"/>
      <c r="C94" s="240"/>
      <c r="E94" s="122" t="s">
        <v>17</v>
      </c>
      <c r="F94" s="9">
        <v>15</v>
      </c>
      <c r="G94" s="9">
        <v>66</v>
      </c>
      <c r="H94" s="9">
        <v>213</v>
      </c>
      <c r="I94" s="9">
        <v>378</v>
      </c>
      <c r="J94" s="9">
        <v>145</v>
      </c>
      <c r="K94" s="9">
        <v>352</v>
      </c>
      <c r="L94" s="9">
        <v>593</v>
      </c>
      <c r="M94" s="9">
        <v>793</v>
      </c>
      <c r="N94" s="9">
        <v>174</v>
      </c>
      <c r="O94" s="9" t="e">
        <f>+N94+O30</f>
        <v>#REF!</v>
      </c>
      <c r="P94" s="9">
        <v>523</v>
      </c>
      <c r="Q94" s="9">
        <v>736</v>
      </c>
      <c r="R94" s="9">
        <v>155</v>
      </c>
      <c r="S94" s="43">
        <f>+R94+S30</f>
        <v>327</v>
      </c>
      <c r="T94" s="43">
        <f>+S94+T30</f>
        <v>535</v>
      </c>
      <c r="U94" s="43">
        <f>+T94+U30</f>
        <v>746</v>
      </c>
      <c r="V94" s="43">
        <v>106</v>
      </c>
      <c r="W94" s="43">
        <f>+V30+W30</f>
        <v>254</v>
      </c>
      <c r="X94" s="43">
        <v>371</v>
      </c>
      <c r="Y94" s="43">
        <v>467</v>
      </c>
      <c r="Z94" s="43">
        <v>11</v>
      </c>
      <c r="AA94" s="43">
        <v>113</v>
      </c>
      <c r="AB94" s="43">
        <v>238</v>
      </c>
      <c r="AC94" s="43">
        <v>438</v>
      </c>
      <c r="AD94" s="9">
        <v>52</v>
      </c>
      <c r="AE94" s="9">
        <v>187</v>
      </c>
      <c r="AF94" s="9">
        <v>241</v>
      </c>
      <c r="AG94" s="9">
        <v>364</v>
      </c>
      <c r="AH94" s="9">
        <v>95</v>
      </c>
      <c r="AI94" s="9">
        <v>245</v>
      </c>
      <c r="AJ94" s="9">
        <v>453</v>
      </c>
      <c r="AK94" s="9">
        <v>626</v>
      </c>
    </row>
    <row r="95" spans="1:37" ht="12.75">
      <c r="A95" s="240" t="s">
        <v>36</v>
      </c>
      <c r="B95" s="240"/>
      <c r="C95" s="240" t="s">
        <v>530</v>
      </c>
      <c r="E95" s="122" t="s">
        <v>531</v>
      </c>
      <c r="F95" s="10">
        <v>1</v>
      </c>
      <c r="G95" s="10">
        <v>2</v>
      </c>
      <c r="H95" s="10">
        <v>4.2</v>
      </c>
      <c r="I95" s="10">
        <v>5.4</v>
      </c>
      <c r="J95" s="10">
        <v>8.7</v>
      </c>
      <c r="K95" s="10">
        <v>9.5</v>
      </c>
      <c r="L95" s="10">
        <v>10.6</v>
      </c>
      <c r="M95" s="10">
        <v>10.3</v>
      </c>
      <c r="N95" s="10">
        <v>9.965635738831615</v>
      </c>
      <c r="O95" s="10" t="e">
        <f>+O94/O91*100</f>
        <v>#REF!</v>
      </c>
      <c r="P95" s="10">
        <v>9.220733427362482</v>
      </c>
      <c r="Q95" s="10">
        <v>9.373408048904738</v>
      </c>
      <c r="R95" s="10">
        <v>8.419337316675719</v>
      </c>
      <c r="S95" s="10">
        <f>+S94/S91*100</f>
        <v>8.096063382025253</v>
      </c>
      <c r="T95" s="10">
        <f>+T94/T91*100</f>
        <v>8.70484868206964</v>
      </c>
      <c r="U95" s="10">
        <f>+U94/U91*100</f>
        <v>8.875669244497324</v>
      </c>
      <c r="V95" s="10">
        <v>5.441478439425051</v>
      </c>
      <c r="W95" s="10">
        <f>+W94/W91*100</f>
        <v>6.083832335329341</v>
      </c>
      <c r="X95" s="10">
        <v>5.711206896551724</v>
      </c>
      <c r="Y95" s="10">
        <v>5.396972148387842</v>
      </c>
      <c r="Z95" s="10">
        <v>0.5705394190871369</v>
      </c>
      <c r="AA95" s="10">
        <v>2.7235478428536997</v>
      </c>
      <c r="AB95" s="10">
        <v>3.666615313511015</v>
      </c>
      <c r="AC95" s="10">
        <v>4.975576508008634</v>
      </c>
      <c r="AD95" s="10">
        <v>2.3203926818384653</v>
      </c>
      <c r="AE95" s="10">
        <v>3.8820842848245793</v>
      </c>
      <c r="AF95" s="10">
        <v>3.438436296190612</v>
      </c>
      <c r="AG95" s="10">
        <v>3.944089283779391</v>
      </c>
      <c r="AH95" s="10">
        <v>4.698318496538081</v>
      </c>
      <c r="AI95" s="10">
        <v>5.53172273650937</v>
      </c>
      <c r="AJ95" s="10">
        <v>6.5236175115207375</v>
      </c>
      <c r="AK95" s="10">
        <v>6.673773987206823</v>
      </c>
    </row>
    <row r="96" spans="1:37" ht="12.75">
      <c r="A96" s="240" t="s">
        <v>38</v>
      </c>
      <c r="B96" s="240"/>
      <c r="C96" s="240"/>
      <c r="E96" s="122"/>
      <c r="F96" s="9"/>
      <c r="G96" s="9"/>
      <c r="H96" s="9"/>
      <c r="I96" s="9"/>
      <c r="J96" s="9"/>
      <c r="K96" s="9"/>
      <c r="L96" s="9"/>
      <c r="M96" s="9"/>
      <c r="N96" s="9"/>
      <c r="O96" s="9"/>
      <c r="P96" s="9"/>
      <c r="Q96" s="9"/>
      <c r="R96" s="10"/>
      <c r="S96" s="9"/>
      <c r="T96" s="9"/>
      <c r="U96" s="9"/>
      <c r="V96" s="9"/>
      <c r="W96" s="9"/>
      <c r="Y96" s="9"/>
      <c r="Z96" s="9"/>
      <c r="AC96" s="9"/>
      <c r="AD96" s="10"/>
      <c r="AE96" s="10"/>
      <c r="AF96" s="10"/>
      <c r="AG96" s="10"/>
      <c r="AH96" s="10"/>
      <c r="AI96" s="10"/>
      <c r="AJ96" s="10"/>
      <c r="AK96" s="10"/>
    </row>
    <row r="97" spans="1:37" ht="12.75">
      <c r="A97" s="240" t="s">
        <v>35</v>
      </c>
      <c r="B97" s="240"/>
      <c r="C97" s="240"/>
      <c r="E97" s="123" t="s">
        <v>379</v>
      </c>
      <c r="F97" s="9"/>
      <c r="G97" s="9"/>
      <c r="H97" s="9"/>
      <c r="I97" s="9"/>
      <c r="J97" s="9"/>
      <c r="K97" s="9"/>
      <c r="L97" s="9"/>
      <c r="M97" s="9"/>
      <c r="N97" s="9"/>
      <c r="O97" s="9"/>
      <c r="P97" s="9"/>
      <c r="Q97" s="9"/>
      <c r="R97" s="10"/>
      <c r="S97" s="9"/>
      <c r="T97" s="9"/>
      <c r="U97" s="9"/>
      <c r="V97" s="9"/>
      <c r="W97" s="9"/>
      <c r="X97" s="9"/>
      <c r="Y97" s="9"/>
      <c r="Z97" s="9"/>
      <c r="AA97" s="9"/>
      <c r="AB97" s="9"/>
      <c r="AC97" s="9"/>
      <c r="AD97" s="10"/>
      <c r="AE97" s="10"/>
      <c r="AF97" s="10"/>
      <c r="AG97" s="10"/>
      <c r="AH97" s="10"/>
      <c r="AI97" s="10"/>
      <c r="AJ97" s="10"/>
      <c r="AK97" s="10"/>
    </row>
    <row r="98" spans="1:37" ht="12.75">
      <c r="A98" s="240" t="s">
        <v>36</v>
      </c>
      <c r="B98" s="240"/>
      <c r="C98" s="240"/>
      <c r="E98" s="122" t="s">
        <v>10</v>
      </c>
      <c r="F98" s="9">
        <v>2041</v>
      </c>
      <c r="G98" s="9">
        <v>4070</v>
      </c>
      <c r="H98" s="9">
        <v>6096</v>
      </c>
      <c r="I98" s="9">
        <v>8464</v>
      </c>
      <c r="J98" s="9">
        <v>1936</v>
      </c>
      <c r="K98" s="9">
        <v>3902</v>
      </c>
      <c r="L98" s="9">
        <v>6008</v>
      </c>
      <c r="M98" s="9">
        <v>8422</v>
      </c>
      <c r="N98" s="9">
        <v>1930</v>
      </c>
      <c r="O98" s="9" t="e">
        <f>+N98+O34</f>
        <v>#REF!</v>
      </c>
      <c r="P98" s="9">
        <v>5780</v>
      </c>
      <c r="Q98" s="9">
        <v>8359</v>
      </c>
      <c r="R98" s="9">
        <v>2105</v>
      </c>
      <c r="S98" s="9">
        <v>4210</v>
      </c>
      <c r="T98" s="9">
        <v>6322</v>
      </c>
      <c r="U98" s="9">
        <v>9011</v>
      </c>
      <c r="V98" s="9">
        <v>2020</v>
      </c>
      <c r="W98" s="9">
        <f>+V34+W34</f>
        <v>4124</v>
      </c>
      <c r="X98" s="9">
        <v>6255</v>
      </c>
      <c r="Y98" s="9">
        <v>8952</v>
      </c>
      <c r="Z98" s="9">
        <v>2001</v>
      </c>
      <c r="AA98" s="9">
        <v>3939</v>
      </c>
      <c r="AB98" s="9">
        <v>6014</v>
      </c>
      <c r="AC98" s="9">
        <v>8678</v>
      </c>
      <c r="AD98" s="9">
        <v>2139</v>
      </c>
      <c r="AE98" s="9">
        <v>4337</v>
      </c>
      <c r="AF98" s="9">
        <v>6506</v>
      </c>
      <c r="AG98" s="9">
        <v>8958</v>
      </c>
      <c r="AH98" s="9">
        <v>1927</v>
      </c>
      <c r="AI98" s="9">
        <v>3785</v>
      </c>
      <c r="AJ98" s="9">
        <v>5745</v>
      </c>
      <c r="AK98" s="9">
        <v>8183</v>
      </c>
    </row>
    <row r="99" spans="1:37" ht="12.75">
      <c r="A99" s="240" t="s">
        <v>36</v>
      </c>
      <c r="B99" s="240"/>
      <c r="C99" s="240" t="s">
        <v>530</v>
      </c>
      <c r="E99" s="49" t="s">
        <v>542</v>
      </c>
      <c r="F99" s="10"/>
      <c r="G99" s="10"/>
      <c r="H99" s="10"/>
      <c r="I99" s="10"/>
      <c r="J99" s="10"/>
      <c r="K99" s="10"/>
      <c r="L99" s="10"/>
      <c r="M99" s="10"/>
      <c r="N99" s="10">
        <v>8.5</v>
      </c>
      <c r="O99" s="10">
        <v>5.3</v>
      </c>
      <c r="P99" s="10">
        <v>4.4</v>
      </c>
      <c r="Q99" s="10">
        <v>6</v>
      </c>
      <c r="R99" s="10">
        <v>7.7</v>
      </c>
      <c r="S99" s="10">
        <v>10.4</v>
      </c>
      <c r="T99" s="10">
        <v>8.8</v>
      </c>
      <c r="U99" s="10">
        <v>8.4</v>
      </c>
      <c r="V99" s="10">
        <v>1.1</v>
      </c>
      <c r="W99" s="10">
        <v>3.7</v>
      </c>
      <c r="X99" s="10">
        <v>4.3</v>
      </c>
      <c r="Y99" s="10">
        <v>4.4</v>
      </c>
      <c r="Z99" s="10">
        <v>2</v>
      </c>
      <c r="AA99" s="10">
        <v>-2.3</v>
      </c>
      <c r="AB99" s="10">
        <v>-3.4</v>
      </c>
      <c r="AC99" s="10">
        <v>-4.2</v>
      </c>
      <c r="AD99" s="10">
        <v>-5.5</v>
      </c>
      <c r="AE99" s="10">
        <v>-1.6</v>
      </c>
      <c r="AF99" s="10">
        <v>-1.2</v>
      </c>
      <c r="AG99" s="10">
        <v>-3.8</v>
      </c>
      <c r="AH99" s="10">
        <v>-6.1</v>
      </c>
      <c r="AI99" s="10">
        <v>-9.2</v>
      </c>
      <c r="AJ99" s="10">
        <v>-9.6</v>
      </c>
      <c r="AK99" s="10">
        <v>-8.2</v>
      </c>
    </row>
    <row r="100" spans="1:37" ht="12.75">
      <c r="A100" s="240" t="s">
        <v>36</v>
      </c>
      <c r="B100" s="240"/>
      <c r="C100" s="240"/>
      <c r="E100" s="122" t="s">
        <v>17</v>
      </c>
      <c r="F100" s="9">
        <v>75</v>
      </c>
      <c r="G100" s="9">
        <v>159</v>
      </c>
      <c r="H100" s="9">
        <v>397</v>
      </c>
      <c r="I100" s="9">
        <v>763</v>
      </c>
      <c r="J100" s="9">
        <v>211</v>
      </c>
      <c r="K100" s="9">
        <v>333</v>
      </c>
      <c r="L100" s="9">
        <v>531</v>
      </c>
      <c r="M100" s="9">
        <v>802</v>
      </c>
      <c r="N100" s="9">
        <v>114</v>
      </c>
      <c r="O100" s="9" t="e">
        <f>+N100+O36</f>
        <v>#REF!</v>
      </c>
      <c r="P100" s="9">
        <v>306</v>
      </c>
      <c r="Q100" s="9">
        <v>543</v>
      </c>
      <c r="R100" s="9">
        <v>93</v>
      </c>
      <c r="S100" s="43">
        <f>+R100+S36</f>
        <v>118</v>
      </c>
      <c r="T100" s="43">
        <f>+S100+T36</f>
        <v>242</v>
      </c>
      <c r="U100" s="43">
        <f>+T100+U36</f>
        <v>461</v>
      </c>
      <c r="V100" s="43">
        <v>17</v>
      </c>
      <c r="W100" s="43">
        <f>+V36+W36</f>
        <v>67</v>
      </c>
      <c r="X100" s="43">
        <v>164</v>
      </c>
      <c r="Y100" s="43">
        <v>391</v>
      </c>
      <c r="Z100" s="43">
        <v>33</v>
      </c>
      <c r="AA100" s="43">
        <v>-8</v>
      </c>
      <c r="AB100" s="43">
        <v>27</v>
      </c>
      <c r="AC100" s="43">
        <v>200</v>
      </c>
      <c r="AD100" s="9">
        <v>-8</v>
      </c>
      <c r="AE100" s="9">
        <v>-12</v>
      </c>
      <c r="AF100" s="9">
        <v>29</v>
      </c>
      <c r="AG100" s="9">
        <v>-63</v>
      </c>
      <c r="AH100" s="9">
        <v>44</v>
      </c>
      <c r="AI100" s="9">
        <v>50</v>
      </c>
      <c r="AJ100" s="9">
        <v>84</v>
      </c>
      <c r="AK100" s="9">
        <v>238</v>
      </c>
    </row>
    <row r="101" spans="1:37" ht="12.75">
      <c r="A101" s="240" t="s">
        <v>36</v>
      </c>
      <c r="B101" s="240"/>
      <c r="C101" s="240" t="s">
        <v>530</v>
      </c>
      <c r="E101" s="122" t="s">
        <v>531</v>
      </c>
      <c r="F101" s="10">
        <v>3.7</v>
      </c>
      <c r="G101" s="10">
        <v>3.9</v>
      </c>
      <c r="H101" s="10">
        <v>6.5</v>
      </c>
      <c r="I101" s="10">
        <v>9</v>
      </c>
      <c r="J101" s="10">
        <v>10.9</v>
      </c>
      <c r="K101" s="10">
        <v>8.5</v>
      </c>
      <c r="L101" s="10">
        <v>8.8</v>
      </c>
      <c r="M101" s="10">
        <v>9.5</v>
      </c>
      <c r="N101" s="10">
        <v>5.9067357512953365</v>
      </c>
      <c r="O101" s="10" t="e">
        <f>+O100/O98*100</f>
        <v>#REF!</v>
      </c>
      <c r="P101" s="10">
        <v>5.294117647058823</v>
      </c>
      <c r="Q101" s="10">
        <v>6.495992343581768</v>
      </c>
      <c r="R101" s="10">
        <v>4.418052256532066</v>
      </c>
      <c r="S101" s="10">
        <f>+S100/S98*100</f>
        <v>2.802850356294537</v>
      </c>
      <c r="T101" s="10">
        <f>+T100/T98*100</f>
        <v>3.827902562480228</v>
      </c>
      <c r="U101" s="10">
        <f>+U100/U98*100</f>
        <v>5.11596937076906</v>
      </c>
      <c r="V101" s="10">
        <v>0.8415841584158417</v>
      </c>
      <c r="W101" s="10">
        <f>+W100/W98*100</f>
        <v>1.624636275460718</v>
      </c>
      <c r="X101" s="10">
        <v>2.621902478017586</v>
      </c>
      <c r="Y101" s="10">
        <v>4.367739052725648</v>
      </c>
      <c r="Z101" s="10">
        <v>1.6</v>
      </c>
      <c r="AA101" s="10">
        <v>-0.20309723280020311</v>
      </c>
      <c r="AB101" s="10">
        <v>0.44895244429664116</v>
      </c>
      <c r="AC101" s="10">
        <v>2.3046784973496197</v>
      </c>
      <c r="AD101" s="10">
        <v>-0.3740065451145395</v>
      </c>
      <c r="AE101" s="10">
        <v>-0.276688955499193</v>
      </c>
      <c r="AF101" s="10">
        <v>0.44574239163848756</v>
      </c>
      <c r="AG101" s="10">
        <v>-0.7032819825853985</v>
      </c>
      <c r="AH101" s="10">
        <v>2.2833419823559935</v>
      </c>
      <c r="AI101" s="10">
        <v>1.321003963011889</v>
      </c>
      <c r="AJ101" s="10">
        <v>1.4621409921671018</v>
      </c>
      <c r="AK101" s="10">
        <v>2.9084687767322497</v>
      </c>
    </row>
    <row r="102" spans="1:37" ht="12.75">
      <c r="A102" s="240" t="s">
        <v>38</v>
      </c>
      <c r="B102" s="240"/>
      <c r="C102" s="240"/>
      <c r="E102" s="49"/>
      <c r="F102" s="9"/>
      <c r="G102" s="9"/>
      <c r="H102" s="9"/>
      <c r="I102" s="9"/>
      <c r="J102" s="9"/>
      <c r="K102" s="9"/>
      <c r="L102" s="9"/>
      <c r="M102" s="9"/>
      <c r="N102" s="9"/>
      <c r="O102" s="9"/>
      <c r="P102" s="9"/>
      <c r="Q102" s="9"/>
      <c r="R102" s="9"/>
      <c r="S102" s="9"/>
      <c r="T102" s="9"/>
      <c r="U102" s="9"/>
      <c r="V102" s="9"/>
      <c r="W102" s="9"/>
      <c r="Y102" s="9"/>
      <c r="Z102" s="9"/>
      <c r="AC102" s="9"/>
      <c r="AD102" s="9"/>
      <c r="AE102" s="9"/>
      <c r="AF102" s="9"/>
      <c r="AG102" s="9"/>
      <c r="AH102" s="9"/>
      <c r="AI102" s="9"/>
      <c r="AJ102" s="9"/>
      <c r="AK102" s="9"/>
    </row>
    <row r="103" spans="1:37" ht="12.75">
      <c r="A103" s="240" t="s">
        <v>35</v>
      </c>
      <c r="B103" s="240"/>
      <c r="C103" s="240"/>
      <c r="E103" s="119" t="s">
        <v>131</v>
      </c>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row>
    <row r="104" spans="1:37" ht="12.75">
      <c r="A104" s="240" t="s">
        <v>36</v>
      </c>
      <c r="B104" s="240"/>
      <c r="C104" s="240"/>
      <c r="E104" s="122" t="s">
        <v>10</v>
      </c>
      <c r="F104" s="9">
        <v>1727</v>
      </c>
      <c r="G104" s="9">
        <v>3577</v>
      </c>
      <c r="H104" s="9">
        <v>5206</v>
      </c>
      <c r="I104" s="9">
        <v>7129</v>
      </c>
      <c r="J104" s="9">
        <v>1501</v>
      </c>
      <c r="K104" s="9">
        <v>3231</v>
      </c>
      <c r="L104" s="9">
        <v>4732</v>
      </c>
      <c r="M104" s="9">
        <v>6389</v>
      </c>
      <c r="N104" s="9">
        <v>1378</v>
      </c>
      <c r="O104" s="9" t="e">
        <f>+N104+O40</f>
        <v>#REF!</v>
      </c>
      <c r="P104" s="9">
        <v>4295</v>
      </c>
      <c r="Q104" s="9">
        <v>5882</v>
      </c>
      <c r="R104" s="9">
        <v>1408</v>
      </c>
      <c r="S104" s="9">
        <v>2870</v>
      </c>
      <c r="T104" s="9">
        <v>4169</v>
      </c>
      <c r="U104" s="9">
        <v>5571</v>
      </c>
      <c r="V104" s="9">
        <v>1201</v>
      </c>
      <c r="W104" s="9">
        <f>+V40+W40</f>
        <v>2584</v>
      </c>
      <c r="X104" s="9">
        <v>4006</v>
      </c>
      <c r="Y104" s="9">
        <v>5550</v>
      </c>
      <c r="Z104" s="9">
        <v>1380</v>
      </c>
      <c r="AA104" s="9">
        <v>2916</v>
      </c>
      <c r="AB104" s="9">
        <v>4400</v>
      </c>
      <c r="AC104" s="9">
        <v>6041</v>
      </c>
      <c r="AD104" s="9">
        <v>1525</v>
      </c>
      <c r="AE104" s="9">
        <v>3214</v>
      </c>
      <c r="AF104" s="9">
        <v>4788</v>
      </c>
      <c r="AG104" s="9">
        <v>6546</v>
      </c>
      <c r="AH104" s="9">
        <v>1584</v>
      </c>
      <c r="AI104" s="9">
        <v>3296</v>
      </c>
      <c r="AJ104" s="9">
        <v>4937</v>
      </c>
      <c r="AK104" s="9">
        <v>6865</v>
      </c>
    </row>
    <row r="105" spans="1:37" ht="12.75">
      <c r="A105" s="240" t="s">
        <v>36</v>
      </c>
      <c r="B105" s="240"/>
      <c r="C105" s="240" t="s">
        <v>530</v>
      </c>
      <c r="E105" s="49" t="s">
        <v>542</v>
      </c>
      <c r="F105" s="10"/>
      <c r="G105" s="10"/>
      <c r="H105" s="10"/>
      <c r="I105" s="10"/>
      <c r="J105" s="10"/>
      <c r="K105" s="10"/>
      <c r="L105" s="10"/>
      <c r="M105" s="10"/>
      <c r="N105" s="10">
        <v>-0.8</v>
      </c>
      <c r="O105" s="10">
        <v>-4.6</v>
      </c>
      <c r="P105" s="10">
        <v>-4</v>
      </c>
      <c r="Q105" s="10">
        <v>-3.7</v>
      </c>
      <c r="R105" s="10">
        <v>1.4</v>
      </c>
      <c r="S105" s="10">
        <v>-0.7</v>
      </c>
      <c r="T105" s="10">
        <v>-2.1</v>
      </c>
      <c r="U105" s="10">
        <v>-3.9</v>
      </c>
      <c r="V105" s="10">
        <v>-11.2</v>
      </c>
      <c r="W105" s="10">
        <v>-6.4</v>
      </c>
      <c r="X105" s="10">
        <v>-1.3</v>
      </c>
      <c r="Y105" s="10">
        <v>1.7</v>
      </c>
      <c r="Z105" s="10">
        <v>13.3</v>
      </c>
      <c r="AA105" s="10">
        <v>10.5</v>
      </c>
      <c r="AB105" s="10">
        <v>7.1</v>
      </c>
      <c r="AC105" s="10">
        <v>5.6</v>
      </c>
      <c r="AD105" s="10">
        <v>3</v>
      </c>
      <c r="AE105" s="10">
        <v>4.1</v>
      </c>
      <c r="AF105" s="10">
        <v>2.6</v>
      </c>
      <c r="AG105" s="10">
        <v>2.8</v>
      </c>
      <c r="AH105" s="10">
        <v>4.300000000000001</v>
      </c>
      <c r="AI105" s="10">
        <v>2.6999999999999997</v>
      </c>
      <c r="AJ105" s="10">
        <v>3.0999999999999996</v>
      </c>
      <c r="AK105" s="10">
        <v>4.4</v>
      </c>
    </row>
    <row r="106" spans="1:37" ht="12.75">
      <c r="A106" s="240" t="s">
        <v>36</v>
      </c>
      <c r="B106" s="240"/>
      <c r="C106" s="240" t="s">
        <v>530</v>
      </c>
      <c r="E106" s="49" t="s">
        <v>546</v>
      </c>
      <c r="F106" s="10"/>
      <c r="G106" s="10"/>
      <c r="H106" s="10"/>
      <c r="I106" s="10"/>
      <c r="J106" s="10"/>
      <c r="K106" s="10"/>
      <c r="L106" s="10"/>
      <c r="M106" s="10"/>
      <c r="N106" s="10"/>
      <c r="O106" s="10"/>
      <c r="P106" s="10"/>
      <c r="Q106" s="10"/>
      <c r="R106" s="10"/>
      <c r="S106" s="10"/>
      <c r="T106" s="10"/>
      <c r="U106" s="10"/>
      <c r="V106" s="10"/>
      <c r="W106" s="10"/>
      <c r="X106" s="10"/>
      <c r="Y106" s="10"/>
      <c r="Z106" s="10">
        <v>0</v>
      </c>
      <c r="AA106" s="10">
        <v>0</v>
      </c>
      <c r="AB106" s="10">
        <v>0</v>
      </c>
      <c r="AC106" s="10">
        <v>0</v>
      </c>
      <c r="AD106" s="10">
        <v>0</v>
      </c>
      <c r="AE106" s="10">
        <v>0</v>
      </c>
      <c r="AF106" s="10">
        <v>0.7</v>
      </c>
      <c r="AG106" s="10">
        <v>1.2</v>
      </c>
      <c r="AH106" s="10">
        <v>1.4</v>
      </c>
      <c r="AI106" s="10">
        <v>1.4</v>
      </c>
      <c r="AJ106" s="10">
        <v>1</v>
      </c>
      <c r="AK106" s="10">
        <v>0.6</v>
      </c>
    </row>
    <row r="107" spans="1:37" ht="12.75">
      <c r="A107" s="240" t="s">
        <v>36</v>
      </c>
      <c r="B107" s="240"/>
      <c r="C107" s="240"/>
      <c r="E107" s="49" t="s">
        <v>17</v>
      </c>
      <c r="F107" s="9">
        <v>105</v>
      </c>
      <c r="G107" s="9">
        <v>270</v>
      </c>
      <c r="H107" s="9">
        <v>443</v>
      </c>
      <c r="I107" s="9">
        <v>668</v>
      </c>
      <c r="J107" s="9">
        <v>91</v>
      </c>
      <c r="K107" s="9">
        <v>298</v>
      </c>
      <c r="L107" s="9">
        <v>500</v>
      </c>
      <c r="M107" s="9">
        <v>743</v>
      </c>
      <c r="N107" s="9">
        <v>177</v>
      </c>
      <c r="O107" s="9" t="e">
        <f>+N107+O43</f>
        <v>#REF!</v>
      </c>
      <c r="P107" s="9">
        <v>650</v>
      </c>
      <c r="Q107" s="9">
        <v>841</v>
      </c>
      <c r="R107" s="9">
        <v>130</v>
      </c>
      <c r="S107" s="43">
        <f>+R107+S43</f>
        <v>284</v>
      </c>
      <c r="T107" s="43">
        <f>+S107+T43</f>
        <v>433</v>
      </c>
      <c r="U107" s="43">
        <f>+T107+U43</f>
        <v>588</v>
      </c>
      <c r="V107" s="43">
        <v>59</v>
      </c>
      <c r="W107" s="43">
        <f>+V43+W43</f>
        <v>171</v>
      </c>
      <c r="X107" s="43">
        <v>338</v>
      </c>
      <c r="Y107" s="43">
        <v>510</v>
      </c>
      <c r="Z107" s="43">
        <v>126</v>
      </c>
      <c r="AA107" s="43">
        <v>298</v>
      </c>
      <c r="AB107" s="43">
        <v>482</v>
      </c>
      <c r="AC107" s="43">
        <v>671</v>
      </c>
      <c r="AD107" s="9">
        <v>170</v>
      </c>
      <c r="AE107" s="9">
        <v>390</v>
      </c>
      <c r="AF107" s="9">
        <v>602</v>
      </c>
      <c r="AG107" s="9">
        <v>862</v>
      </c>
      <c r="AH107" s="9">
        <v>205</v>
      </c>
      <c r="AI107" s="9">
        <v>427</v>
      </c>
      <c r="AJ107" s="9">
        <v>661</v>
      </c>
      <c r="AK107" s="9">
        <v>954</v>
      </c>
    </row>
    <row r="108" spans="1:37" ht="12.75">
      <c r="A108" s="240" t="s">
        <v>36</v>
      </c>
      <c r="B108" s="240"/>
      <c r="C108" s="240" t="s">
        <v>530</v>
      </c>
      <c r="E108" s="49" t="s">
        <v>531</v>
      </c>
      <c r="F108" s="10">
        <v>6.079907353792704</v>
      </c>
      <c r="G108" s="10">
        <v>7.5</v>
      </c>
      <c r="H108" s="10">
        <v>8.50941221667307</v>
      </c>
      <c r="I108" s="10">
        <v>9.370178145602468</v>
      </c>
      <c r="J108" s="10">
        <v>6.062624916722186</v>
      </c>
      <c r="K108" s="10">
        <v>9.223150727329001</v>
      </c>
      <c r="L108" s="10">
        <v>10.566356720202874</v>
      </c>
      <c r="M108" s="10">
        <v>11.629362967600564</v>
      </c>
      <c r="N108" s="10">
        <v>12.844702467343977</v>
      </c>
      <c r="O108" s="10" t="e">
        <f>+O107/O104*100</f>
        <v>#REF!</v>
      </c>
      <c r="P108" s="10">
        <v>15.133876600698487</v>
      </c>
      <c r="Q108" s="10">
        <v>14.297857871472289</v>
      </c>
      <c r="R108" s="10">
        <v>9.232954545454545</v>
      </c>
      <c r="S108" s="10">
        <f>+S107/S104*100</f>
        <v>9.89547038327526</v>
      </c>
      <c r="T108" s="10">
        <f>+T107/T104*100</f>
        <v>10.38618373710722</v>
      </c>
      <c r="U108" s="10">
        <f>+U107/U104*100</f>
        <v>10.554658050619278</v>
      </c>
      <c r="V108" s="10">
        <v>4.912572855953372</v>
      </c>
      <c r="W108" s="10">
        <f>+W107/W104*100</f>
        <v>6.61764705882353</v>
      </c>
      <c r="X108" s="10">
        <v>8.437343984023963</v>
      </c>
      <c r="Y108" s="10">
        <v>9.18918918918919</v>
      </c>
      <c r="Z108" s="10">
        <v>9.1</v>
      </c>
      <c r="AA108" s="10">
        <v>10.219478737997257</v>
      </c>
      <c r="AB108" s="10">
        <v>10.954545454545455</v>
      </c>
      <c r="AC108" s="10">
        <v>11.107432544280748</v>
      </c>
      <c r="AD108" s="10">
        <v>11.147540983606557</v>
      </c>
      <c r="AE108" s="10">
        <v>12.134411947728687</v>
      </c>
      <c r="AF108" s="10">
        <v>12.573099415204677</v>
      </c>
      <c r="AG108" s="10">
        <v>13.168347082187596</v>
      </c>
      <c r="AH108" s="10">
        <v>12.94191919191919</v>
      </c>
      <c r="AI108" s="10">
        <v>12.955097087378642</v>
      </c>
      <c r="AJ108" s="10">
        <v>13.38869758962933</v>
      </c>
      <c r="AK108" s="10">
        <v>13.896576839038602</v>
      </c>
    </row>
    <row r="109" spans="1:37" ht="12.75">
      <c r="A109" s="240" t="s">
        <v>38</v>
      </c>
      <c r="B109" s="240"/>
      <c r="C109" s="240"/>
      <c r="E109" s="49"/>
      <c r="F109" s="9"/>
      <c r="G109" s="9"/>
      <c r="H109" s="9"/>
      <c r="I109" s="9"/>
      <c r="J109" s="9"/>
      <c r="K109" s="9"/>
      <c r="L109" s="9"/>
      <c r="M109" s="9"/>
      <c r="N109" s="9"/>
      <c r="O109" s="9"/>
      <c r="P109" s="9"/>
      <c r="Q109" s="9"/>
      <c r="R109" s="9"/>
      <c r="S109" s="9"/>
      <c r="T109" s="9"/>
      <c r="U109" s="9"/>
      <c r="V109" s="9"/>
      <c r="W109" s="9"/>
      <c r="Y109" s="9"/>
      <c r="Z109" s="9"/>
      <c r="AC109" s="9"/>
      <c r="AD109" s="9"/>
      <c r="AE109" s="9"/>
      <c r="AF109" s="9"/>
      <c r="AG109" s="9"/>
      <c r="AH109" s="9"/>
      <c r="AI109" s="9"/>
      <c r="AJ109" s="9"/>
      <c r="AK109" s="9"/>
    </row>
    <row r="110" spans="1:37" ht="12.75">
      <c r="A110" s="240" t="s">
        <v>35</v>
      </c>
      <c r="B110" s="240"/>
      <c r="C110" s="240"/>
      <c r="E110" s="119" t="s">
        <v>132</v>
      </c>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row>
    <row r="111" spans="1:37" ht="12.75">
      <c r="A111" s="240" t="s">
        <v>36</v>
      </c>
      <c r="B111" s="240"/>
      <c r="C111" s="240"/>
      <c r="E111" s="122" t="s">
        <v>10</v>
      </c>
      <c r="F111" s="9">
        <v>2</v>
      </c>
      <c r="G111" s="9">
        <v>4</v>
      </c>
      <c r="H111" s="9">
        <v>6</v>
      </c>
      <c r="I111" s="9">
        <v>6</v>
      </c>
      <c r="J111" s="9">
        <v>8</v>
      </c>
      <c r="K111" s="9">
        <v>10</v>
      </c>
      <c r="L111" s="9">
        <v>11</v>
      </c>
      <c r="M111" s="9">
        <v>11</v>
      </c>
      <c r="N111" s="9">
        <v>0</v>
      </c>
      <c r="O111" s="9">
        <v>1</v>
      </c>
      <c r="P111" s="9">
        <v>1</v>
      </c>
      <c r="Q111" s="9">
        <v>1</v>
      </c>
      <c r="R111" s="13">
        <v>0</v>
      </c>
      <c r="S111" s="9">
        <v>0</v>
      </c>
      <c r="T111" s="9">
        <v>0</v>
      </c>
      <c r="U111" s="9">
        <v>1</v>
      </c>
      <c r="V111" s="9">
        <v>1</v>
      </c>
      <c r="W111" s="9">
        <f>+V47+W47</f>
        <v>1</v>
      </c>
      <c r="X111" s="9">
        <v>1</v>
      </c>
      <c r="Y111" s="9">
        <v>1</v>
      </c>
      <c r="Z111" s="9">
        <v>1</v>
      </c>
      <c r="AA111" s="9">
        <v>1</v>
      </c>
      <c r="AB111" s="9">
        <v>1</v>
      </c>
      <c r="AC111" s="9">
        <v>1</v>
      </c>
      <c r="AD111" s="13">
        <v>0</v>
      </c>
      <c r="AE111" s="13">
        <v>0</v>
      </c>
      <c r="AF111" s="13">
        <v>0</v>
      </c>
      <c r="AG111" s="13">
        <v>0</v>
      </c>
      <c r="AH111" s="13">
        <v>0</v>
      </c>
      <c r="AI111" s="13">
        <v>0</v>
      </c>
      <c r="AJ111" s="13">
        <v>0</v>
      </c>
      <c r="AK111" s="13">
        <v>0</v>
      </c>
    </row>
    <row r="112" spans="1:37" ht="12.75">
      <c r="A112" s="240" t="s">
        <v>36</v>
      </c>
      <c r="B112" s="240"/>
      <c r="C112" s="240"/>
      <c r="E112" s="49" t="s">
        <v>17</v>
      </c>
      <c r="F112" s="9">
        <v>-125</v>
      </c>
      <c r="G112" s="9">
        <v>-264</v>
      </c>
      <c r="H112" s="9">
        <v>-404</v>
      </c>
      <c r="I112" s="9">
        <v>-507</v>
      </c>
      <c r="J112" s="9">
        <v>-125</v>
      </c>
      <c r="K112" s="9">
        <v>-285</v>
      </c>
      <c r="L112" s="9">
        <v>-459</v>
      </c>
      <c r="M112" s="9">
        <v>-534</v>
      </c>
      <c r="N112" s="9">
        <v>-148</v>
      </c>
      <c r="O112" s="9">
        <v>-285</v>
      </c>
      <c r="P112" s="9">
        <v>-500</v>
      </c>
      <c r="Q112" s="9">
        <v>-744</v>
      </c>
      <c r="R112" s="9">
        <v>-151</v>
      </c>
      <c r="S112" s="43">
        <f>+R112+S48</f>
        <v>-399</v>
      </c>
      <c r="T112" s="43">
        <f>+S112+T48</f>
        <v>-586</v>
      </c>
      <c r="U112" s="43">
        <f>+T112+U48</f>
        <v>-910</v>
      </c>
      <c r="V112" s="43">
        <v>-181</v>
      </c>
      <c r="W112" s="43">
        <f>+V48+W48</f>
        <v>-376</v>
      </c>
      <c r="X112" s="43">
        <v>-599</v>
      </c>
      <c r="Y112" s="43">
        <v>-775</v>
      </c>
      <c r="Z112" s="43">
        <v>-174</v>
      </c>
      <c r="AA112" s="43">
        <v>-261</v>
      </c>
      <c r="AB112" s="43">
        <v>-457</v>
      </c>
      <c r="AC112" s="43">
        <v>-743</v>
      </c>
      <c r="AD112" s="9">
        <v>-189</v>
      </c>
      <c r="AE112" s="9">
        <v>-553</v>
      </c>
      <c r="AF112" s="9">
        <v>-812</v>
      </c>
      <c r="AG112" s="9">
        <v>-2632</v>
      </c>
      <c r="AH112" s="9">
        <v>-155</v>
      </c>
      <c r="AI112" s="9">
        <v>-347</v>
      </c>
      <c r="AJ112" s="9">
        <v>-520</v>
      </c>
      <c r="AK112" s="9">
        <v>-693</v>
      </c>
    </row>
    <row r="113" spans="1:37" ht="12.75">
      <c r="A113" s="240" t="s">
        <v>38</v>
      </c>
      <c r="B113" s="240"/>
      <c r="C113" s="240"/>
      <c r="E113" s="53"/>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row>
    <row r="114" spans="1:37" ht="12.75">
      <c r="A114" s="240" t="s">
        <v>35</v>
      </c>
      <c r="B114" s="240"/>
      <c r="C114" s="240"/>
      <c r="E114" s="159" t="s">
        <v>449</v>
      </c>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row>
    <row r="115" spans="1:37" ht="12.75">
      <c r="A115" s="240" t="s">
        <v>36</v>
      </c>
      <c r="B115" s="240"/>
      <c r="C115" s="240"/>
      <c r="E115" s="122" t="s">
        <v>10</v>
      </c>
      <c r="F115" s="9">
        <v>25818</v>
      </c>
      <c r="G115" s="9">
        <v>53300</v>
      </c>
      <c r="H115" s="9">
        <v>80917</v>
      </c>
      <c r="I115" s="9">
        <v>109132</v>
      </c>
      <c r="J115" s="9">
        <v>25133</v>
      </c>
      <c r="K115" s="9">
        <v>52444</v>
      </c>
      <c r="L115" s="9">
        <v>78770</v>
      </c>
      <c r="M115" s="9">
        <f>+M73+M79+M85+M91+M98+M104+M111</f>
        <v>106326</v>
      </c>
      <c r="N115" s="9">
        <v>23436</v>
      </c>
      <c r="O115" s="9" t="e">
        <f>+O73+O79+O85+O91+O98+O104+O111</f>
        <v>#REF!</v>
      </c>
      <c r="P115" s="9">
        <f>+P73+P79+P85+P91+P98+P104+P111</f>
        <v>73229</v>
      </c>
      <c r="Q115" s="9">
        <f>+Q73+Q79+Q85+Q91+Q98+Q104+Q111</f>
        <v>101598</v>
      </c>
      <c r="R115" s="9">
        <v>25875</v>
      </c>
      <c r="S115" s="9">
        <v>53638</v>
      </c>
      <c r="T115" s="9">
        <v>80809</v>
      </c>
      <c r="U115" s="9">
        <v>109994</v>
      </c>
      <c r="V115" s="9">
        <v>25328</v>
      </c>
      <c r="W115" s="9">
        <f>+V51+W51</f>
        <v>53002</v>
      </c>
      <c r="X115" s="9">
        <v>80260</v>
      </c>
      <c r="Y115" s="9">
        <v>109151</v>
      </c>
      <c r="Z115" s="9"/>
      <c r="AA115" s="9"/>
      <c r="AB115" s="9"/>
      <c r="AC115" s="9"/>
      <c r="AD115" s="9"/>
      <c r="AE115" s="9"/>
      <c r="AF115" s="9"/>
      <c r="AG115" s="9"/>
      <c r="AH115" s="9"/>
      <c r="AI115" s="9"/>
      <c r="AJ115" s="9"/>
      <c r="AK115" s="9"/>
    </row>
    <row r="116" spans="1:37" ht="12.75">
      <c r="A116" s="240" t="s">
        <v>36</v>
      </c>
      <c r="B116" s="240"/>
      <c r="C116" s="240" t="s">
        <v>530</v>
      </c>
      <c r="E116" s="49" t="s">
        <v>332</v>
      </c>
      <c r="F116" s="10">
        <v>-8.4</v>
      </c>
      <c r="G116" s="10">
        <v>-8</v>
      </c>
      <c r="H116" s="10">
        <v>-6.2</v>
      </c>
      <c r="I116" s="10">
        <v>-4.8</v>
      </c>
      <c r="J116" s="10">
        <v>4.1</v>
      </c>
      <c r="K116" s="10">
        <v>3.5</v>
      </c>
      <c r="L116" s="10">
        <v>1.5</v>
      </c>
      <c r="M116" s="10">
        <v>1.5</v>
      </c>
      <c r="N116" s="10">
        <v>0.9</v>
      </c>
      <c r="O116" s="10">
        <v>-0.4</v>
      </c>
      <c r="P116" s="10">
        <v>0.5</v>
      </c>
      <c r="Q116" s="10">
        <v>1.9</v>
      </c>
      <c r="R116" s="10">
        <v>9.3</v>
      </c>
      <c r="S116" s="10">
        <v>10.4</v>
      </c>
      <c r="T116" s="10">
        <v>10.1</v>
      </c>
      <c r="U116" s="10">
        <v>9.4</v>
      </c>
      <c r="V116" s="10">
        <v>3.8</v>
      </c>
      <c r="W116" s="10">
        <v>4.9</v>
      </c>
      <c r="X116" s="10">
        <v>4.9</v>
      </c>
      <c r="Y116" s="10">
        <v>4.5</v>
      </c>
      <c r="Z116" s="10"/>
      <c r="AA116" s="10"/>
      <c r="AB116" s="10"/>
      <c r="AC116" s="10"/>
      <c r="AD116" s="10"/>
      <c r="AE116" s="10"/>
      <c r="AF116" s="10"/>
      <c r="AG116" s="10"/>
      <c r="AH116" s="10"/>
      <c r="AI116" s="10"/>
      <c r="AJ116" s="10"/>
      <c r="AK116" s="10"/>
    </row>
    <row r="117" spans="1:37" ht="12.75">
      <c r="A117" s="240" t="s">
        <v>36</v>
      </c>
      <c r="B117" s="240"/>
      <c r="C117" s="240"/>
      <c r="E117" s="49" t="s">
        <v>17</v>
      </c>
      <c r="F117" s="9">
        <v>38</v>
      </c>
      <c r="G117" s="9">
        <v>1065</v>
      </c>
      <c r="H117" s="9">
        <v>3299</v>
      </c>
      <c r="I117" s="9">
        <v>5322</v>
      </c>
      <c r="J117" s="9">
        <v>1326</v>
      </c>
      <c r="K117" s="9">
        <v>2803</v>
      </c>
      <c r="L117" s="9">
        <v>4780</v>
      </c>
      <c r="M117" s="9">
        <f>+M75+M81+M87+M94+M100+M107+M112</f>
        <v>6494</v>
      </c>
      <c r="N117" s="9">
        <v>696</v>
      </c>
      <c r="O117" s="9" t="e">
        <f>+O75+O81+O87+O94+O100+O107+O112</f>
        <v>#REF!</v>
      </c>
      <c r="P117" s="9">
        <f>+P75+P81+P87+P94+P100+P107+P112</f>
        <v>2539</v>
      </c>
      <c r="Q117" s="9">
        <f>+Q75+Q81+Q87+Q94+Q100+Q107+Q112</f>
        <v>3155</v>
      </c>
      <c r="R117" s="9">
        <v>907</v>
      </c>
      <c r="S117" s="43">
        <f>+R117+S53</f>
        <v>2019</v>
      </c>
      <c r="T117" s="43">
        <f>+S117+T53</f>
        <v>3442</v>
      </c>
      <c r="U117" s="43">
        <f>+T117+U53</f>
        <v>5032</v>
      </c>
      <c r="V117" s="43">
        <v>720</v>
      </c>
      <c r="W117" s="43">
        <f>+V53+W53</f>
        <v>1757</v>
      </c>
      <c r="X117" s="43">
        <v>2832</v>
      </c>
      <c r="Y117" s="43">
        <v>4055</v>
      </c>
      <c r="Z117" s="43"/>
      <c r="AA117" s="43"/>
      <c r="AB117" s="43"/>
      <c r="AC117" s="43"/>
      <c r="AD117" s="43"/>
      <c r="AE117" s="43"/>
      <c r="AF117" s="43"/>
      <c r="AG117" s="43"/>
      <c r="AH117" s="43"/>
      <c r="AI117" s="43"/>
      <c r="AJ117" s="43"/>
      <c r="AK117" s="43"/>
    </row>
    <row r="118" spans="1:37" ht="12.75">
      <c r="A118" s="240" t="s">
        <v>36</v>
      </c>
      <c r="B118" s="240"/>
      <c r="C118" s="240" t="s">
        <v>530</v>
      </c>
      <c r="E118" s="49" t="s">
        <v>531</v>
      </c>
      <c r="F118" s="10">
        <v>0.14718413509954295</v>
      </c>
      <c r="G118" s="10">
        <v>2</v>
      </c>
      <c r="H118" s="10">
        <v>4.077017190454416</v>
      </c>
      <c r="I118" s="10">
        <f>+I117/I115*100</f>
        <v>4.876663123556794</v>
      </c>
      <c r="J118" s="10">
        <v>5.275932041539012</v>
      </c>
      <c r="K118" s="10">
        <v>5.3447486843108845</v>
      </c>
      <c r="L118" s="10">
        <v>6.068300114256696</v>
      </c>
      <c r="M118" s="10">
        <f>+M117/M115*100</f>
        <v>6.107631247296052</v>
      </c>
      <c r="N118" s="10">
        <v>2.9697900665642605</v>
      </c>
      <c r="O118" s="10" t="e">
        <f>+O117/O115*100</f>
        <v>#REF!</v>
      </c>
      <c r="P118" s="10">
        <f>+P117/P115*100</f>
        <v>3.4672056152617134</v>
      </c>
      <c r="Q118" s="10">
        <f>+Q117/Q115*100</f>
        <v>3.1053760900805134</v>
      </c>
      <c r="R118" s="10">
        <v>3.5</v>
      </c>
      <c r="S118" s="10">
        <f>+S117/S115*100</f>
        <v>3.76412245050151</v>
      </c>
      <c r="T118" s="10">
        <f>+T117/T115*100</f>
        <v>4.259426549023005</v>
      </c>
      <c r="U118" s="10">
        <f>+U117/U115*100</f>
        <v>4.574794988817572</v>
      </c>
      <c r="V118" s="10">
        <v>2.8427037271004423</v>
      </c>
      <c r="W118" s="10">
        <f>+W117/W115*100</f>
        <v>3.3149692464435305</v>
      </c>
      <c r="X118" s="10">
        <v>3.5285322701221036</v>
      </c>
      <c r="Y118" s="10">
        <v>3.715036967137268</v>
      </c>
      <c r="Z118" s="10"/>
      <c r="AA118" s="10"/>
      <c r="AB118" s="10"/>
      <c r="AC118" s="10"/>
      <c r="AD118" s="10"/>
      <c r="AE118" s="10"/>
      <c r="AF118" s="10"/>
      <c r="AG118" s="10"/>
      <c r="AH118" s="10"/>
      <c r="AI118" s="10"/>
      <c r="AJ118" s="10"/>
      <c r="AK118" s="10"/>
    </row>
    <row r="119" spans="1:37" ht="12.75">
      <c r="A119" s="240" t="s">
        <v>38</v>
      </c>
      <c r="B119" s="240"/>
      <c r="C119" s="240"/>
      <c r="E119" s="119"/>
      <c r="F119" s="1"/>
      <c r="G119" s="1"/>
      <c r="H119" s="1"/>
      <c r="I119" s="1"/>
      <c r="J119" s="1"/>
      <c r="K119" s="1"/>
      <c r="L119" s="1"/>
      <c r="M119" s="1"/>
      <c r="N119" s="1"/>
      <c r="O119" s="1"/>
      <c r="P119" s="1"/>
      <c r="Q119" s="1"/>
      <c r="R119" s="1"/>
      <c r="S119" s="1"/>
      <c r="T119" s="1"/>
      <c r="U119" s="14"/>
      <c r="V119" s="14"/>
      <c r="W119" s="14"/>
      <c r="Y119" s="14"/>
      <c r="Z119" s="14"/>
      <c r="AC119" s="14"/>
      <c r="AD119" s="1"/>
      <c r="AE119" s="1"/>
      <c r="AF119" s="1"/>
      <c r="AG119" s="1"/>
      <c r="AH119" s="1"/>
      <c r="AI119" s="1"/>
      <c r="AJ119" s="1"/>
      <c r="AK119" s="1"/>
    </row>
    <row r="120" spans="1:37" ht="12.75">
      <c r="A120" s="240" t="s">
        <v>35</v>
      </c>
      <c r="B120" s="240"/>
      <c r="C120" s="240"/>
      <c r="E120" s="159" t="s">
        <v>451</v>
      </c>
      <c r="F120" s="1"/>
      <c r="G120" s="1"/>
      <c r="H120" s="1"/>
      <c r="I120" s="1"/>
      <c r="J120" s="1"/>
      <c r="K120" s="1"/>
      <c r="L120" s="1"/>
      <c r="M120" s="1"/>
      <c r="N120" s="1"/>
      <c r="O120" s="1"/>
      <c r="P120" s="1"/>
      <c r="Q120" s="1"/>
      <c r="R120" s="1"/>
      <c r="S120" s="1"/>
      <c r="T120" s="1"/>
      <c r="U120" s="14"/>
      <c r="V120" s="14"/>
      <c r="W120" s="14"/>
      <c r="X120" s="14"/>
      <c r="Y120" s="14"/>
      <c r="Z120" s="14"/>
      <c r="AA120" s="14"/>
      <c r="AB120" s="14"/>
      <c r="AC120" s="14"/>
      <c r="AD120" s="1"/>
      <c r="AE120" s="1"/>
      <c r="AF120" s="1"/>
      <c r="AG120" s="1"/>
      <c r="AH120" s="1"/>
      <c r="AI120" s="1"/>
      <c r="AJ120" s="1"/>
      <c r="AK120" s="1"/>
    </row>
    <row r="121" spans="1:37" ht="12.75">
      <c r="A121" s="240" t="s">
        <v>36</v>
      </c>
      <c r="B121" s="240"/>
      <c r="C121" s="240"/>
      <c r="E121" s="122" t="s">
        <v>10</v>
      </c>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1:37" ht="12.75">
      <c r="A122" s="240" t="s">
        <v>36</v>
      </c>
      <c r="B122" s="240"/>
      <c r="C122" s="240" t="s">
        <v>530</v>
      </c>
      <c r="E122" s="49" t="s">
        <v>332</v>
      </c>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1:37" ht="12.75">
      <c r="A123" s="240" t="s">
        <v>36</v>
      </c>
      <c r="B123" s="240"/>
      <c r="C123" s="240"/>
      <c r="E123" s="49" t="s">
        <v>17</v>
      </c>
      <c r="F123" s="9">
        <v>-424</v>
      </c>
      <c r="G123" s="9">
        <v>-399</v>
      </c>
      <c r="H123" s="9">
        <v>-343</v>
      </c>
      <c r="I123" s="9">
        <v>-1561</v>
      </c>
      <c r="J123" s="9">
        <v>-95</v>
      </c>
      <c r="K123" s="9">
        <v>-302</v>
      </c>
      <c r="L123" s="9">
        <v>-302</v>
      </c>
      <c r="M123" s="9">
        <v>-1064</v>
      </c>
      <c r="N123" s="9">
        <v>0</v>
      </c>
      <c r="O123" s="9">
        <v>0</v>
      </c>
      <c r="P123" s="9">
        <v>-34</v>
      </c>
      <c r="Q123" s="9">
        <v>-138</v>
      </c>
      <c r="R123" s="9">
        <v>0</v>
      </c>
      <c r="S123" s="9">
        <v>0</v>
      </c>
      <c r="T123" s="9">
        <v>0</v>
      </c>
      <c r="U123" s="9">
        <v>-1032</v>
      </c>
      <c r="V123" s="9">
        <v>-82</v>
      </c>
      <c r="W123" s="9">
        <f>+V59+W59</f>
        <v>-82</v>
      </c>
      <c r="X123" s="9">
        <v>-82</v>
      </c>
      <c r="Y123" s="9">
        <v>-2475</v>
      </c>
      <c r="Z123" s="9"/>
      <c r="AA123" s="9"/>
      <c r="AB123" s="9"/>
      <c r="AC123" s="9"/>
      <c r="AD123" s="13"/>
      <c r="AE123" s="13"/>
      <c r="AF123" s="13"/>
      <c r="AG123" s="13"/>
      <c r="AH123" s="13"/>
      <c r="AI123" s="13"/>
      <c r="AJ123" s="13"/>
      <c r="AK123" s="13"/>
    </row>
    <row r="124" spans="1:29" ht="12.75">
      <c r="A124" s="240" t="s">
        <v>36</v>
      </c>
      <c r="B124" s="240"/>
      <c r="C124" s="240" t="s">
        <v>530</v>
      </c>
      <c r="E124" s="49" t="s">
        <v>531</v>
      </c>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row>
    <row r="125" spans="1:29" ht="12.75">
      <c r="A125" s="240" t="s">
        <v>38</v>
      </c>
      <c r="B125" s="240"/>
      <c r="C125" s="240"/>
      <c r="E125" s="53"/>
      <c r="F125" s="9"/>
      <c r="G125" s="9"/>
      <c r="H125" s="9"/>
      <c r="I125" s="9"/>
      <c r="J125" s="9"/>
      <c r="K125" s="9"/>
      <c r="L125" s="9"/>
      <c r="M125" s="9"/>
      <c r="N125" s="9"/>
      <c r="O125" s="9"/>
      <c r="P125" s="9"/>
      <c r="Q125" s="9"/>
      <c r="R125" s="9"/>
      <c r="S125" s="9"/>
      <c r="T125" s="9"/>
      <c r="U125" s="9"/>
      <c r="V125" s="9"/>
      <c r="W125" s="9"/>
      <c r="X125" s="9"/>
      <c r="Y125" s="9"/>
      <c r="Z125" s="9"/>
      <c r="AA125" s="9"/>
      <c r="AB125" s="9"/>
      <c r="AC125" s="9"/>
    </row>
    <row r="126" spans="1:29" ht="12.75">
      <c r="A126" s="240" t="s">
        <v>35</v>
      </c>
      <c r="B126" s="240"/>
      <c r="C126" s="240"/>
      <c r="E126" s="159" t="s">
        <v>453</v>
      </c>
      <c r="F126" s="1"/>
      <c r="G126" s="1"/>
      <c r="H126" s="1"/>
      <c r="I126" s="1"/>
      <c r="J126" s="1"/>
      <c r="K126" s="1"/>
      <c r="L126" s="1"/>
      <c r="M126" s="1"/>
      <c r="N126" s="1"/>
      <c r="O126" s="1"/>
      <c r="P126" s="1"/>
      <c r="Q126" s="1"/>
      <c r="R126" s="1"/>
      <c r="S126" s="1"/>
      <c r="T126" s="1"/>
      <c r="U126" s="14"/>
      <c r="V126" s="14"/>
      <c r="W126" s="14"/>
      <c r="X126" s="14"/>
      <c r="Y126" s="14"/>
      <c r="Z126" s="14"/>
      <c r="AA126" s="14"/>
      <c r="AB126" s="14"/>
      <c r="AC126" s="14"/>
    </row>
    <row r="127" spans="1:37" ht="12.75">
      <c r="A127" s="240" t="s">
        <v>36</v>
      </c>
      <c r="B127" s="240"/>
      <c r="C127" s="240"/>
      <c r="E127" s="122" t="s">
        <v>10</v>
      </c>
      <c r="F127" s="9">
        <v>25818</v>
      </c>
      <c r="G127" s="9">
        <f>+G115+G121</f>
        <v>53300</v>
      </c>
      <c r="H127" s="9">
        <v>80917</v>
      </c>
      <c r="I127" s="9">
        <f>+I115+I121</f>
        <v>109132</v>
      </c>
      <c r="J127" s="9">
        <v>25133</v>
      </c>
      <c r="K127" s="9">
        <v>52444</v>
      </c>
      <c r="L127" s="9">
        <v>78770</v>
      </c>
      <c r="M127" s="9">
        <f>+M115+M121</f>
        <v>106326</v>
      </c>
      <c r="N127" s="9">
        <v>23436</v>
      </c>
      <c r="O127" s="9" t="e">
        <f>+O115+O121</f>
        <v>#REF!</v>
      </c>
      <c r="P127" s="9">
        <f>+P115+P121</f>
        <v>73229</v>
      </c>
      <c r="Q127" s="9">
        <f>+Q115+Q121</f>
        <v>101598</v>
      </c>
      <c r="R127" s="9">
        <v>25875</v>
      </c>
      <c r="S127" s="9">
        <v>53638</v>
      </c>
      <c r="T127" s="9">
        <v>80809</v>
      </c>
      <c r="U127" s="9">
        <v>109994</v>
      </c>
      <c r="V127" s="9">
        <v>25328</v>
      </c>
      <c r="W127" s="9">
        <f>+V63+W63</f>
        <v>53002</v>
      </c>
      <c r="X127" s="9">
        <v>80260</v>
      </c>
      <c r="Y127" s="9">
        <v>109151</v>
      </c>
      <c r="Z127" s="9">
        <v>25629</v>
      </c>
      <c r="AA127" s="9">
        <v>51959</v>
      </c>
      <c r="AB127" s="9">
        <v>80743</v>
      </c>
      <c r="AC127" s="9">
        <v>112143</v>
      </c>
      <c r="AD127" s="43">
        <v>29087</v>
      </c>
      <c r="AE127" s="43">
        <v>60442</v>
      </c>
      <c r="AF127" s="43">
        <v>91717</v>
      </c>
      <c r="AG127" s="43">
        <v>123511</v>
      </c>
      <c r="AH127" s="43">
        <v>28114</v>
      </c>
      <c r="AI127" s="43">
        <v>58097</v>
      </c>
      <c r="AJ127" s="43">
        <v>88949</v>
      </c>
      <c r="AK127" s="43">
        <v>121093</v>
      </c>
    </row>
    <row r="128" spans="1:37" ht="12.75">
      <c r="A128" s="240" t="s">
        <v>36</v>
      </c>
      <c r="B128" s="240"/>
      <c r="C128" s="240" t="s">
        <v>530</v>
      </c>
      <c r="E128" s="49" t="s">
        <v>542</v>
      </c>
      <c r="F128" s="10">
        <v>-8.4</v>
      </c>
      <c r="G128" s="10">
        <v>-8</v>
      </c>
      <c r="H128" s="10">
        <v>-6.2</v>
      </c>
      <c r="I128" s="10">
        <v>-4.8</v>
      </c>
      <c r="J128" s="10">
        <v>4.1</v>
      </c>
      <c r="K128" s="10">
        <v>3.5</v>
      </c>
      <c r="L128" s="10">
        <v>1.5</v>
      </c>
      <c r="M128" s="10">
        <f>+M116</f>
        <v>1.5</v>
      </c>
      <c r="N128" s="10">
        <v>0.9</v>
      </c>
      <c r="O128" s="10">
        <f>+O116</f>
        <v>-0.4</v>
      </c>
      <c r="P128" s="10">
        <f>+P116</f>
        <v>0.5</v>
      </c>
      <c r="Q128" s="10">
        <f>+Q116</f>
        <v>1.9</v>
      </c>
      <c r="R128" s="10">
        <v>9.3</v>
      </c>
      <c r="S128" s="10">
        <v>10.4</v>
      </c>
      <c r="T128" s="10">
        <v>10.1</v>
      </c>
      <c r="U128" s="10">
        <v>9.4</v>
      </c>
      <c r="V128" s="10">
        <v>3.8</v>
      </c>
      <c r="W128" s="10">
        <v>4.9</v>
      </c>
      <c r="X128" s="10">
        <v>4.9</v>
      </c>
      <c r="Y128" s="10">
        <v>4.5</v>
      </c>
      <c r="Z128" s="10">
        <v>4.5</v>
      </c>
      <c r="AA128" s="10">
        <v>0.2</v>
      </c>
      <c r="AB128" s="10">
        <v>0.7</v>
      </c>
      <c r="AC128" s="10">
        <v>1.1</v>
      </c>
      <c r="AD128" s="40">
        <v>-0.5</v>
      </c>
      <c r="AE128" s="40">
        <v>3.2</v>
      </c>
      <c r="AF128" s="40">
        <v>2.9</v>
      </c>
      <c r="AG128" s="40">
        <v>2.2</v>
      </c>
      <c r="AH128" s="10">
        <v>1.8</v>
      </c>
      <c r="AI128" s="10">
        <v>0.3</v>
      </c>
      <c r="AJ128" s="10">
        <v>-0.4</v>
      </c>
      <c r="AK128" s="10">
        <v>-1.1</v>
      </c>
    </row>
    <row r="129" spans="1:37" ht="12.75">
      <c r="A129" s="240" t="s">
        <v>36</v>
      </c>
      <c r="B129" s="240"/>
      <c r="C129" s="240" t="s">
        <v>530</v>
      </c>
      <c r="E129" s="49" t="s">
        <v>546</v>
      </c>
      <c r="F129" s="10"/>
      <c r="G129" s="10"/>
      <c r="H129" s="10"/>
      <c r="I129" s="10"/>
      <c r="J129" s="10"/>
      <c r="K129" s="10"/>
      <c r="L129" s="10"/>
      <c r="M129" s="10"/>
      <c r="N129" s="10"/>
      <c r="O129" s="10"/>
      <c r="P129" s="10"/>
      <c r="Q129" s="10"/>
      <c r="R129" s="10"/>
      <c r="S129" s="10"/>
      <c r="T129" s="10"/>
      <c r="U129" s="10"/>
      <c r="V129" s="10"/>
      <c r="W129" s="10"/>
      <c r="X129" s="10"/>
      <c r="Y129" s="10"/>
      <c r="Z129" s="10">
        <v>0</v>
      </c>
      <c r="AA129" s="10">
        <v>0</v>
      </c>
      <c r="AB129" s="10">
        <v>0</v>
      </c>
      <c r="AC129" s="10">
        <v>0</v>
      </c>
      <c r="AD129" s="40">
        <v>0.1</v>
      </c>
      <c r="AE129" s="40">
        <v>0.1</v>
      </c>
      <c r="AF129" s="10">
        <v>0.1</v>
      </c>
      <c r="AG129" s="40">
        <v>0.1</v>
      </c>
      <c r="AH129" s="10">
        <v>0.1</v>
      </c>
      <c r="AI129" s="10">
        <v>0.1</v>
      </c>
      <c r="AJ129" s="10">
        <v>0.1</v>
      </c>
      <c r="AK129" s="10">
        <v>0.1</v>
      </c>
    </row>
    <row r="130" spans="1:37" ht="12.75">
      <c r="A130" s="240" t="s">
        <v>36</v>
      </c>
      <c r="B130" s="240"/>
      <c r="C130" s="240"/>
      <c r="E130" s="49" t="s">
        <v>17</v>
      </c>
      <c r="F130" s="9">
        <v>-386</v>
      </c>
      <c r="G130" s="9">
        <f>+G117+G123</f>
        <v>666</v>
      </c>
      <c r="H130" s="9">
        <v>2956</v>
      </c>
      <c r="I130" s="9">
        <f>+I117+I123</f>
        <v>3761</v>
      </c>
      <c r="J130" s="9">
        <v>1231</v>
      </c>
      <c r="K130" s="9">
        <v>2501</v>
      </c>
      <c r="L130" s="9">
        <v>4478</v>
      </c>
      <c r="M130" s="9">
        <f>+M117+M123</f>
        <v>5430</v>
      </c>
      <c r="N130" s="9">
        <v>696</v>
      </c>
      <c r="O130" s="9" t="e">
        <f aca="true" t="shared" si="6" ref="O130:U130">+O117+O123</f>
        <v>#REF!</v>
      </c>
      <c r="P130" s="9">
        <f t="shared" si="6"/>
        <v>2505</v>
      </c>
      <c r="Q130" s="9">
        <f t="shared" si="6"/>
        <v>3017</v>
      </c>
      <c r="R130" s="9">
        <f t="shared" si="6"/>
        <v>907</v>
      </c>
      <c r="S130" s="9">
        <f t="shared" si="6"/>
        <v>2019</v>
      </c>
      <c r="T130" s="9">
        <f t="shared" si="6"/>
        <v>3442</v>
      </c>
      <c r="U130" s="9">
        <f t="shared" si="6"/>
        <v>4000</v>
      </c>
      <c r="V130" s="9">
        <v>638</v>
      </c>
      <c r="W130" s="9">
        <f>+V66+W66</f>
        <v>1675</v>
      </c>
      <c r="X130" s="9">
        <v>2750</v>
      </c>
      <c r="Y130" s="9">
        <v>1580</v>
      </c>
      <c r="Z130" s="9">
        <v>731</v>
      </c>
      <c r="AA130" s="9">
        <v>794</v>
      </c>
      <c r="AB130" s="9">
        <v>2186</v>
      </c>
      <c r="AC130" s="9">
        <v>3581</v>
      </c>
      <c r="AD130" s="40">
        <v>516</v>
      </c>
      <c r="AE130" s="40">
        <v>1437</v>
      </c>
      <c r="AF130" s="40">
        <v>2943</v>
      </c>
      <c r="AG130" s="40">
        <v>2741</v>
      </c>
      <c r="AH130" s="9">
        <v>1268</v>
      </c>
      <c r="AI130" s="9">
        <v>2832</v>
      </c>
      <c r="AJ130" s="9">
        <v>4658</v>
      </c>
      <c r="AK130" s="9">
        <v>6274</v>
      </c>
    </row>
    <row r="131" spans="1:37" ht="12.75">
      <c r="A131" s="240" t="s">
        <v>36</v>
      </c>
      <c r="B131" s="240"/>
      <c r="C131" s="240" t="s">
        <v>530</v>
      </c>
      <c r="E131" s="49" t="s">
        <v>531</v>
      </c>
      <c r="F131" s="10">
        <v>-1.4950809512743048</v>
      </c>
      <c r="G131" s="10">
        <f>+G130/G127*100</f>
        <v>1.2495309568480302</v>
      </c>
      <c r="H131" s="10">
        <v>3.653126042735148</v>
      </c>
      <c r="I131" s="10">
        <f>+I130/I127*100</f>
        <v>3.446285232562402</v>
      </c>
      <c r="J131" s="10">
        <v>4.897942943540365</v>
      </c>
      <c r="K131" s="10">
        <v>4.768896346579209</v>
      </c>
      <c r="L131" s="10">
        <v>5.684905420845499</v>
      </c>
      <c r="M131" s="10">
        <f>+M130/M127*100</f>
        <v>5.10693527453304</v>
      </c>
      <c r="N131" s="10">
        <v>2.9697900665642605</v>
      </c>
      <c r="O131" s="10" t="e">
        <f>+O130/O127*100</f>
        <v>#REF!</v>
      </c>
      <c r="P131" s="10">
        <f>+P130/P127*100</f>
        <v>3.4207759221073615</v>
      </c>
      <c r="Q131" s="10">
        <f>+Q130/Q127*100</f>
        <v>2.9695466446189887</v>
      </c>
      <c r="R131" s="10">
        <v>3.5</v>
      </c>
      <c r="S131" s="10">
        <f>+S130/S127*100</f>
        <v>3.76412245050151</v>
      </c>
      <c r="T131" s="10">
        <f>+T130/T127*100</f>
        <v>4.259426549023005</v>
      </c>
      <c r="U131" s="10">
        <f>+U130/U127*100</f>
        <v>3.636561994290598</v>
      </c>
      <c r="V131" s="10">
        <v>2.5189513581806695</v>
      </c>
      <c r="W131" s="10">
        <f>+W130/W127*100</f>
        <v>3.1602581034677937</v>
      </c>
      <c r="X131" s="10">
        <v>3.4</v>
      </c>
      <c r="Y131" s="10">
        <v>1.4475359822631035</v>
      </c>
      <c r="Z131" s="10">
        <v>2.9</v>
      </c>
      <c r="AA131" s="10">
        <v>1.5281279470351623</v>
      </c>
      <c r="AB131" s="10">
        <v>2.7073554363845784</v>
      </c>
      <c r="AC131" s="10">
        <v>3.193244339816128</v>
      </c>
      <c r="AD131" s="44">
        <v>1.7739883796885205</v>
      </c>
      <c r="AE131" s="44">
        <v>2.377485854207339</v>
      </c>
      <c r="AF131" s="44">
        <v>3.2087835406740295</v>
      </c>
      <c r="AG131" s="44">
        <v>2.2192355336771623</v>
      </c>
      <c r="AH131" s="44">
        <v>4.510208437077613</v>
      </c>
      <c r="AI131" s="44">
        <v>4.874606261941236</v>
      </c>
      <c r="AJ131" s="44">
        <v>5.236708675758019</v>
      </c>
      <c r="AK131" s="44">
        <v>5.18114176707159</v>
      </c>
    </row>
    <row r="132" spans="1:36" ht="12.75">
      <c r="A132" s="240" t="s">
        <v>38</v>
      </c>
      <c r="B132" s="240"/>
      <c r="C132" s="240"/>
      <c r="E132" s="49"/>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44"/>
      <c r="AE132" s="44"/>
      <c r="AF132" s="44"/>
      <c r="AG132" s="44"/>
      <c r="AH132" s="44"/>
      <c r="AI132" s="44"/>
      <c r="AJ132" s="44"/>
    </row>
    <row r="133" spans="1:10" ht="12.75">
      <c r="A133" s="240" t="s">
        <v>76</v>
      </c>
      <c r="B133" s="240"/>
      <c r="C133" s="240"/>
      <c r="E133" s="122" t="s">
        <v>384</v>
      </c>
      <c r="F133" s="9"/>
      <c r="G133" s="9"/>
      <c r="H133" s="9"/>
      <c r="I133" s="9"/>
      <c r="J133" s="9"/>
    </row>
    <row r="134" spans="1:5" ht="26.25">
      <c r="A134" s="240" t="s">
        <v>76</v>
      </c>
      <c r="B134" s="240"/>
      <c r="C134" s="240"/>
      <c r="E134" s="122" t="s">
        <v>366</v>
      </c>
    </row>
    <row r="135" spans="1:5" ht="105">
      <c r="A135" s="240" t="s">
        <v>76</v>
      </c>
      <c r="B135" s="240"/>
      <c r="C135" s="240"/>
      <c r="E135" s="122" t="s">
        <v>450</v>
      </c>
    </row>
  </sheetData>
  <sheetProtection/>
  <printOptions/>
  <pageMargins left="0.75" right="0.75" top="1" bottom="1" header="0.5" footer="0.5"/>
  <pageSetup fitToHeight="1" fitToWidth="1" horizontalDpi="600" verticalDpi="600" orientation="portrait" paperSize="8"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Electrolux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Andersson</dc:creator>
  <cp:keywords/>
  <dc:description/>
  <cp:lastModifiedBy>Maria Norin</cp:lastModifiedBy>
  <cp:lastPrinted>2016-09-20T13:13:39Z</cp:lastPrinted>
  <dcterms:created xsi:type="dcterms:W3CDTF">2009-08-26T11:31:12Z</dcterms:created>
  <dcterms:modified xsi:type="dcterms:W3CDTF">2017-02-01T09:47:48Z</dcterms:modified>
  <cp:category/>
  <cp:version/>
  <cp:contentType/>
  <cp:contentStatus/>
</cp:coreProperties>
</file>